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codeName="ThisWorkbook"/>
  <mc:AlternateContent xmlns:mc="http://schemas.openxmlformats.org/markup-compatibility/2006">
    <mc:Choice Requires="x15">
      <x15ac:absPath xmlns:x15ac="http://schemas.microsoft.com/office/spreadsheetml/2010/11/ac" url="\\athinan\ΔΤ\QI\GI_S2_21\F_S2_2021\"/>
    </mc:Choice>
  </mc:AlternateContent>
  <xr:revisionPtr revIDLastSave="0" documentId="8_{6B36DEEC-C4A2-4CD7-BEA7-18C3FFAD041F}" xr6:coauthVersionLast="36" xr6:coauthVersionMax="36" xr10:uidLastSave="{00000000-0000-0000-0000-000000000000}"/>
  <workbookProtection workbookAlgorithmName="SHA-512" workbookHashValue="FmAr4QuDy31GOBnzScpSYCmP0ulKpgDIrjVI+hBb7ACYipPGWlTJeM4uMYgCQ8Qn35eWiVUoDjUcMh//gHkYaQ==" workbookSaltValue="brzzvHEwCRLx1Jf/P7eydg==" workbookSpinCount="100000" lockStructure="1"/>
  <bookViews>
    <workbookView xWindow="0" yWindow="0" windowWidth="23040" windowHeight="8484" xr2:uid="{00000000-000D-0000-FFFF-FFFF00000000}"/>
  </bookViews>
  <sheets>
    <sheet name="ΓΕΝΙΚΑ" sheetId="6" r:id="rId1"/>
    <sheet name="ΠΕΡΙΦΕΡΕΙΑ" sheetId="3" r:id="rId2"/>
    <sheet name="ΔΗΜΟΣ" sheetId="4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6" l="1"/>
  <c r="M4" i="12" l="1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S4" i="12" s="1"/>
  <c r="K5" i="12"/>
  <c r="S5" i="12" s="1"/>
  <c r="K6" i="12"/>
  <c r="S6" i="12" s="1"/>
  <c r="K7" i="12"/>
  <c r="S7" i="12" s="1"/>
  <c r="K8" i="12"/>
  <c r="S8" i="12" s="1"/>
  <c r="K9" i="12"/>
  <c r="S9" i="12" s="1"/>
  <c r="K10" i="12"/>
  <c r="S10" i="12" s="1"/>
  <c r="K11" i="12"/>
  <c r="S11" i="12" s="1"/>
  <c r="K12" i="12"/>
  <c r="S12" i="12" s="1"/>
  <c r="K13" i="12"/>
  <c r="S13" i="12" s="1"/>
  <c r="K14" i="12"/>
  <c r="S14" i="12" s="1"/>
  <c r="K15" i="12"/>
  <c r="S15" i="12" s="1"/>
  <c r="K16" i="12"/>
  <c r="S16" i="12" s="1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3" i="16"/>
  <c r="M4" i="17"/>
  <c r="M5" i="17"/>
  <c r="M6" i="17"/>
  <c r="M7" i="17"/>
  <c r="M8" i="17"/>
  <c r="M9" i="17"/>
  <c r="M10" i="17"/>
  <c r="M11" i="17"/>
  <c r="M12" i="17"/>
  <c r="M13" i="17"/>
  <c r="M14" i="17"/>
  <c r="M15" i="17"/>
  <c r="M16" i="17"/>
  <c r="M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" i="17"/>
  <c r="J4" i="17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B3" i="9" l="1"/>
  <c r="B6" i="9" s="1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F5" i="14"/>
  <c r="B4" i="9" l="1"/>
  <c r="B5" i="9"/>
  <c r="I12" i="14"/>
  <c r="I11" i="14"/>
  <c r="I10" i="14"/>
  <c r="I9" i="14"/>
  <c r="I8" i="14"/>
  <c r="I7" i="14"/>
  <c r="I6" i="14"/>
  <c r="I5" i="14"/>
  <c r="I4" i="14"/>
  <c r="I3" i="14"/>
  <c r="O16" i="16" l="1"/>
  <c r="O15" i="16"/>
  <c r="O14" i="16"/>
  <c r="N14" i="16" s="1"/>
  <c r="C14" i="16" s="1"/>
  <c r="O13" i="16"/>
  <c r="N13" i="16" s="1"/>
  <c r="C13" i="16" s="1"/>
  <c r="O12" i="16"/>
  <c r="O11" i="16"/>
  <c r="O10" i="16"/>
  <c r="N10" i="16" s="1"/>
  <c r="C10" i="16" s="1"/>
  <c r="O9" i="16"/>
  <c r="N9" i="16" s="1"/>
  <c r="C9" i="16" s="1"/>
  <c r="O8" i="16"/>
  <c r="O7" i="16"/>
  <c r="O6" i="16"/>
  <c r="N6" i="16" s="1"/>
  <c r="C6" i="16" s="1"/>
  <c r="O5" i="16"/>
  <c r="N5" i="16" s="1"/>
  <c r="C5" i="16" s="1"/>
  <c r="O4" i="16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S30" i="17"/>
  <c r="R30" i="17" s="1"/>
  <c r="C30" i="17" s="1"/>
  <c r="A30" i="17"/>
  <c r="P29" i="17"/>
  <c r="O29" i="17"/>
  <c r="N29" i="17"/>
  <c r="S29" i="17"/>
  <c r="R29" i="17" s="1"/>
  <c r="C29" i="17" s="1"/>
  <c r="A29" i="17"/>
  <c r="P28" i="17"/>
  <c r="O28" i="17"/>
  <c r="N28" i="17"/>
  <c r="S28" i="17"/>
  <c r="R28" i="17" s="1"/>
  <c r="C28" i="17" s="1"/>
  <c r="A28" i="17"/>
  <c r="P27" i="17"/>
  <c r="O27" i="17"/>
  <c r="N27" i="17"/>
  <c r="S27" i="17"/>
  <c r="R27" i="17" s="1"/>
  <c r="C27" i="17" s="1"/>
  <c r="A27" i="17"/>
  <c r="P26" i="17"/>
  <c r="O26" i="17"/>
  <c r="N26" i="17"/>
  <c r="S26" i="17"/>
  <c r="R26" i="17" s="1"/>
  <c r="C26" i="17" s="1"/>
  <c r="A26" i="17"/>
  <c r="P25" i="17"/>
  <c r="O25" i="17"/>
  <c r="N25" i="17"/>
  <c r="S25" i="17"/>
  <c r="R25" i="17" s="1"/>
  <c r="C25" i="17" s="1"/>
  <c r="A25" i="17"/>
  <c r="P24" i="17"/>
  <c r="O24" i="17"/>
  <c r="N24" i="17"/>
  <c r="S24" i="17"/>
  <c r="R24" i="17" s="1"/>
  <c r="C24" i="17" s="1"/>
  <c r="A24" i="17"/>
  <c r="P23" i="17"/>
  <c r="O23" i="17"/>
  <c r="N23" i="17"/>
  <c r="S23" i="17"/>
  <c r="R23" i="17" s="1"/>
  <c r="C23" i="17" s="1"/>
  <c r="A23" i="17"/>
  <c r="P22" i="17"/>
  <c r="O22" i="17"/>
  <c r="N22" i="17"/>
  <c r="S22" i="17"/>
  <c r="R22" i="17" s="1"/>
  <c r="C22" i="17" s="1"/>
  <c r="A22" i="17"/>
  <c r="P21" i="17"/>
  <c r="O21" i="17"/>
  <c r="N21" i="17"/>
  <c r="S21" i="17"/>
  <c r="R21" i="17" s="1"/>
  <c r="C21" i="17" s="1"/>
  <c r="A21" i="17"/>
  <c r="P20" i="17"/>
  <c r="O20" i="17"/>
  <c r="N20" i="17"/>
  <c r="S20" i="17"/>
  <c r="R20" i="17" s="1"/>
  <c r="C20" i="17" s="1"/>
  <c r="A20" i="17"/>
  <c r="P19" i="17"/>
  <c r="O19" i="17"/>
  <c r="N19" i="17"/>
  <c r="S19" i="17"/>
  <c r="R19" i="17" s="1"/>
  <c r="C19" i="17" s="1"/>
  <c r="A19" i="17"/>
  <c r="P18" i="17"/>
  <c r="O18" i="17"/>
  <c r="N18" i="17"/>
  <c r="S18" i="17"/>
  <c r="R18" i="17" s="1"/>
  <c r="C18" i="17" s="1"/>
  <c r="A18" i="17"/>
  <c r="P17" i="17"/>
  <c r="O17" i="17"/>
  <c r="N17" i="17"/>
  <c r="S3" i="17"/>
  <c r="R3" i="17" s="1"/>
  <c r="C3" i="17" s="1"/>
  <c r="A17" i="17"/>
  <c r="P16" i="17"/>
  <c r="O16" i="17"/>
  <c r="N16" i="17"/>
  <c r="M30" i="17"/>
  <c r="S16" i="17"/>
  <c r="R16" i="17" s="1"/>
  <c r="C16" i="17" s="1"/>
  <c r="A16" i="17"/>
  <c r="P15" i="17"/>
  <c r="O15" i="17"/>
  <c r="N15" i="17"/>
  <c r="M29" i="17"/>
  <c r="A15" i="17"/>
  <c r="P14" i="17"/>
  <c r="O14" i="17"/>
  <c r="N14" i="17"/>
  <c r="M28" i="17"/>
  <c r="S14" i="17"/>
  <c r="R14" i="17" s="1"/>
  <c r="C14" i="17" s="1"/>
  <c r="A14" i="17"/>
  <c r="P13" i="17"/>
  <c r="O13" i="17"/>
  <c r="N13" i="17"/>
  <c r="M27" i="17"/>
  <c r="S13" i="17"/>
  <c r="R13" i="17" s="1"/>
  <c r="C13" i="17" s="1"/>
  <c r="A13" i="17"/>
  <c r="P12" i="17"/>
  <c r="O12" i="17"/>
  <c r="N12" i="17"/>
  <c r="M26" i="17"/>
  <c r="S12" i="17"/>
  <c r="R12" i="17" s="1"/>
  <c r="C12" i="17" s="1"/>
  <c r="A12" i="17"/>
  <c r="P11" i="17"/>
  <c r="O11" i="17"/>
  <c r="N11" i="17"/>
  <c r="M25" i="17"/>
  <c r="A11" i="17"/>
  <c r="P10" i="17"/>
  <c r="O10" i="17"/>
  <c r="N10" i="17"/>
  <c r="M24" i="17"/>
  <c r="A10" i="17"/>
  <c r="P9" i="17"/>
  <c r="O9" i="17"/>
  <c r="N9" i="17"/>
  <c r="M23" i="17"/>
  <c r="S9" i="17"/>
  <c r="R9" i="17" s="1"/>
  <c r="C9" i="17" s="1"/>
  <c r="A9" i="17"/>
  <c r="P8" i="17"/>
  <c r="O8" i="17"/>
  <c r="N8" i="17"/>
  <c r="M22" i="17"/>
  <c r="S8" i="17"/>
  <c r="R8" i="17" s="1"/>
  <c r="C8" i="17" s="1"/>
  <c r="A8" i="17"/>
  <c r="P7" i="17"/>
  <c r="O7" i="17"/>
  <c r="N7" i="17"/>
  <c r="M21" i="17"/>
  <c r="S7" i="17"/>
  <c r="R7" i="17" s="1"/>
  <c r="C7" i="17" s="1"/>
  <c r="A7" i="17"/>
  <c r="P6" i="17"/>
  <c r="O6" i="17"/>
  <c r="N6" i="17"/>
  <c r="M20" i="17"/>
  <c r="A6" i="17"/>
  <c r="P5" i="17"/>
  <c r="O5" i="17"/>
  <c r="N5" i="17"/>
  <c r="M19" i="17"/>
  <c r="A5" i="17"/>
  <c r="P4" i="17"/>
  <c r="O4" i="17"/>
  <c r="N4" i="17"/>
  <c r="M18" i="17"/>
  <c r="A4" i="17"/>
  <c r="M17" i="17"/>
  <c r="S5" i="17"/>
  <c r="R5" i="17" s="1"/>
  <c r="C5" i="17" s="1"/>
  <c r="M6" i="9"/>
  <c r="M5" i="9"/>
  <c r="M4" i="9"/>
  <c r="R4" i="12"/>
  <c r="C4" i="12" s="1"/>
  <c r="R16" i="12"/>
  <c r="C16" i="12" s="1"/>
  <c r="S21" i="12"/>
  <c r="R21" i="12" s="1"/>
  <c r="C21" i="12" s="1"/>
  <c r="S25" i="12"/>
  <c r="R25" i="12" s="1"/>
  <c r="C25" i="12" s="1"/>
  <c r="S29" i="12"/>
  <c r="R29" i="12" s="1"/>
  <c r="C29" i="12" s="1"/>
  <c r="K3" i="9"/>
  <c r="K5" i="9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M5" i="15"/>
  <c r="M6" i="15"/>
  <c r="M7" i="15"/>
  <c r="M8" i="15"/>
  <c r="K8" i="15" s="1"/>
  <c r="J8" i="15" s="1"/>
  <c r="C8" i="15" s="1"/>
  <c r="M9" i="15"/>
  <c r="K9" i="15" s="1"/>
  <c r="J9" i="15" s="1"/>
  <c r="C9" i="15" s="1"/>
  <c r="M10" i="15"/>
  <c r="M11" i="15"/>
  <c r="M12" i="15"/>
  <c r="K12" i="15" s="1"/>
  <c r="J12" i="15" s="1"/>
  <c r="C12" i="15" s="1"/>
  <c r="M13" i="15"/>
  <c r="M14" i="15"/>
  <c r="M15" i="15"/>
  <c r="K15" i="15" s="1"/>
  <c r="J15" i="15" s="1"/>
  <c r="C15" i="15" s="1"/>
  <c r="M16" i="15"/>
  <c r="K16" i="15" s="1"/>
  <c r="J16" i="15" s="1"/>
  <c r="C16" i="15" s="1"/>
  <c r="M4" i="15"/>
  <c r="L5" i="15"/>
  <c r="K5" i="15" s="1"/>
  <c r="J5" i="15" s="1"/>
  <c r="C5" i="15" s="1"/>
  <c r="L6" i="15"/>
  <c r="L7" i="15"/>
  <c r="L8" i="15"/>
  <c r="L9" i="15"/>
  <c r="L10" i="15"/>
  <c r="L11" i="15"/>
  <c r="L12" i="15"/>
  <c r="L13" i="15"/>
  <c r="K13" i="15" s="1"/>
  <c r="J13" i="15" s="1"/>
  <c r="C13" i="15" s="1"/>
  <c r="L14" i="15"/>
  <c r="L15" i="15"/>
  <c r="L16" i="15"/>
  <c r="L4" i="15"/>
  <c r="K3" i="15"/>
  <c r="J3" i="15" s="1"/>
  <c r="C3" i="15" s="1"/>
  <c r="M10" i="14"/>
  <c r="L10" i="14" s="1"/>
  <c r="M5" i="14"/>
  <c r="L5" i="14" s="1"/>
  <c r="C6" i="9"/>
  <c r="H3" i="14"/>
  <c r="M3" i="14" s="1"/>
  <c r="L3" i="14" s="1"/>
  <c r="O3" i="16"/>
  <c r="N3" i="16" s="1"/>
  <c r="C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 s="1"/>
  <c r="L6" i="14" s="1"/>
  <c r="H4" i="14"/>
  <c r="M4" i="14" s="1"/>
  <c r="L4" i="14" s="1"/>
  <c r="J3" i="9"/>
  <c r="P3" i="9" s="1"/>
  <c r="O3" i="9" s="1"/>
  <c r="J5" i="9"/>
  <c r="J6" i="9" s="1"/>
  <c r="A3" i="9"/>
  <c r="A4" i="9"/>
  <c r="A5" i="9"/>
  <c r="A6" i="9"/>
  <c r="C4" i="6"/>
  <c r="B19" i="17" s="1"/>
  <c r="N7" i="16"/>
  <c r="C7" i="16" s="1"/>
  <c r="N8" i="16"/>
  <c r="C8" i="16" s="1"/>
  <c r="N11" i="16"/>
  <c r="C11" i="16" s="1"/>
  <c r="N12" i="16"/>
  <c r="C12" i="16" s="1"/>
  <c r="N15" i="16"/>
  <c r="C15" i="16" s="1"/>
  <c r="N16" i="16"/>
  <c r="C16" i="16" s="1"/>
  <c r="N4" i="16"/>
  <c r="C4" i="16" s="1"/>
  <c r="L6" i="9"/>
  <c r="K6" i="9" s="1"/>
  <c r="L4" i="9"/>
  <c r="K4" i="9" s="1"/>
  <c r="H4" i="9"/>
  <c r="H6" i="9"/>
  <c r="I6" i="9"/>
  <c r="I4" i="9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B11" i="17"/>
  <c r="B9" i="12"/>
  <c r="B9" i="16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S30" i="12"/>
  <c r="R30" i="12" s="1"/>
  <c r="C30" i="12" s="1"/>
  <c r="S28" i="12"/>
  <c r="R28" i="12" s="1"/>
  <c r="C28" i="12" s="1"/>
  <c r="S27" i="12"/>
  <c r="R27" i="12" s="1"/>
  <c r="C27" i="12" s="1"/>
  <c r="S26" i="12"/>
  <c r="R26" i="12" s="1"/>
  <c r="C26" i="12" s="1"/>
  <c r="S24" i="12"/>
  <c r="R24" i="12" s="1"/>
  <c r="C24" i="12" s="1"/>
  <c r="S23" i="12"/>
  <c r="R23" i="12" s="1"/>
  <c r="C23" i="12" s="1"/>
  <c r="S22" i="12"/>
  <c r="R22" i="12" s="1"/>
  <c r="C22" i="12" s="1"/>
  <c r="S20" i="12"/>
  <c r="R20" i="12" s="1"/>
  <c r="C20" i="12" s="1"/>
  <c r="S19" i="12"/>
  <c r="R19" i="12" s="1"/>
  <c r="C19" i="12" s="1"/>
  <c r="S18" i="12"/>
  <c r="R18" i="12" s="1"/>
  <c r="C18" i="12" s="1"/>
  <c r="R15" i="12"/>
  <c r="C15" i="12" s="1"/>
  <c r="R14" i="12"/>
  <c r="C14" i="12" s="1"/>
  <c r="R13" i="12"/>
  <c r="C13" i="12" s="1"/>
  <c r="R12" i="12"/>
  <c r="C12" i="12" s="1"/>
  <c r="R11" i="12"/>
  <c r="C11" i="12" s="1"/>
  <c r="R9" i="12"/>
  <c r="C9" i="12" s="1"/>
  <c r="R8" i="12"/>
  <c r="C8" i="12" s="1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R7" i="12"/>
  <c r="C7" i="12" s="1"/>
  <c r="R6" i="12"/>
  <c r="C6" i="12" s="1"/>
  <c r="S17" i="12"/>
  <c r="R17" i="12" s="1"/>
  <c r="C17" i="12" s="1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B12" i="12" l="1"/>
  <c r="B16" i="16"/>
  <c r="B19" i="12"/>
  <c r="B6" i="17"/>
  <c r="B14" i="16"/>
  <c r="B13" i="15"/>
  <c r="B25" i="12"/>
  <c r="B29" i="17"/>
  <c r="B7" i="15"/>
  <c r="B6" i="12"/>
  <c r="B10" i="17"/>
  <c r="B9" i="17"/>
  <c r="B16" i="15"/>
  <c r="B3" i="15"/>
  <c r="B22" i="12"/>
  <c r="B28" i="12"/>
  <c r="B21" i="17"/>
  <c r="B23" i="17"/>
  <c r="B12" i="15"/>
  <c r="B12" i="16"/>
  <c r="B13" i="16"/>
  <c r="B15" i="16"/>
  <c r="B9" i="15"/>
  <c r="B14" i="15"/>
  <c r="B10" i="16"/>
  <c r="B15" i="12"/>
  <c r="B18" i="12"/>
  <c r="B23" i="12"/>
  <c r="B21" i="12"/>
  <c r="B5" i="12"/>
  <c r="B24" i="12"/>
  <c r="B8" i="12"/>
  <c r="B8" i="17"/>
  <c r="B14" i="17"/>
  <c r="B22" i="17"/>
  <c r="B30" i="17"/>
  <c r="B20" i="17"/>
  <c r="B12" i="17"/>
  <c r="B27" i="17"/>
  <c r="B3" i="14"/>
  <c r="B10" i="14" s="1"/>
  <c r="B8" i="15"/>
  <c r="B8" i="16"/>
  <c r="B15" i="15"/>
  <c r="B11" i="16"/>
  <c r="B5" i="15"/>
  <c r="B10" i="15"/>
  <c r="B6" i="16"/>
  <c r="B30" i="12"/>
  <c r="B14" i="12"/>
  <c r="B7" i="12"/>
  <c r="B17" i="12"/>
  <c r="B27" i="12"/>
  <c r="B20" i="12"/>
  <c r="B4" i="12"/>
  <c r="B13" i="17"/>
  <c r="B17" i="17"/>
  <c r="B25" i="17"/>
  <c r="B3" i="17"/>
  <c r="B24" i="17"/>
  <c r="B15" i="17"/>
  <c r="B16" i="17"/>
  <c r="K4" i="15"/>
  <c r="J4" i="15" s="1"/>
  <c r="C4" i="15" s="1"/>
  <c r="K10" i="15"/>
  <c r="J10" i="15" s="1"/>
  <c r="C10" i="15" s="1"/>
  <c r="K6" i="15"/>
  <c r="J6" i="15" s="1"/>
  <c r="C6" i="15" s="1"/>
  <c r="B5" i="16"/>
  <c r="B4" i="15"/>
  <c r="B4" i="16"/>
  <c r="B11" i="15"/>
  <c r="B7" i="16"/>
  <c r="B3" i="16"/>
  <c r="B6" i="15"/>
  <c r="B3" i="12"/>
  <c r="B26" i="12"/>
  <c r="B10" i="12"/>
  <c r="B29" i="12"/>
  <c r="B13" i="12"/>
  <c r="B11" i="12"/>
  <c r="B16" i="12"/>
  <c r="B4" i="17"/>
  <c r="B28" i="17"/>
  <c r="B18" i="17"/>
  <c r="B26" i="17"/>
  <c r="B5" i="17"/>
  <c r="B7" i="17"/>
  <c r="M8" i="14"/>
  <c r="L8" i="14" s="1"/>
  <c r="F10" i="14"/>
  <c r="K14" i="15"/>
  <c r="J14" i="15" s="1"/>
  <c r="C14" i="15" s="1"/>
  <c r="K11" i="15"/>
  <c r="J11" i="15" s="1"/>
  <c r="C11" i="15" s="1"/>
  <c r="K7" i="15"/>
  <c r="J7" i="15" s="1"/>
  <c r="C7" i="15" s="1"/>
  <c r="D15" i="3"/>
  <c r="J4" i="9"/>
  <c r="P4" i="9" s="1"/>
  <c r="O4" i="9" s="1"/>
  <c r="B12" i="14"/>
  <c r="I321" i="4"/>
  <c r="K321" i="4" s="1"/>
  <c r="S11" i="17"/>
  <c r="R11" i="17" s="1"/>
  <c r="C11" i="17" s="1"/>
  <c r="S3" i="12"/>
  <c r="R3" i="12" s="1"/>
  <c r="C3" i="12" s="1"/>
  <c r="R5" i="12"/>
  <c r="C5" i="12" s="1"/>
  <c r="S10" i="17"/>
  <c r="R10" i="17" s="1"/>
  <c r="C10" i="17" s="1"/>
  <c r="C15" i="3"/>
  <c r="C9" i="6" s="1"/>
  <c r="P5" i="9"/>
  <c r="O5" i="9" s="1"/>
  <c r="R10" i="12"/>
  <c r="C10" i="12" s="1"/>
  <c r="S4" i="17"/>
  <c r="R4" i="17" s="1"/>
  <c r="C4" i="17" s="1"/>
  <c r="S6" i="17"/>
  <c r="R6" i="17" s="1"/>
  <c r="C6" i="17" s="1"/>
  <c r="S17" i="17"/>
  <c r="R17" i="17" s="1"/>
  <c r="C17" i="17" s="1"/>
  <c r="I56" i="4"/>
  <c r="I125" i="4"/>
  <c r="I197" i="4"/>
  <c r="I17" i="4"/>
  <c r="I102" i="4"/>
  <c r="I166" i="4"/>
  <c r="I250" i="4"/>
  <c r="I62" i="4"/>
  <c r="I147" i="4"/>
  <c r="I231" i="4"/>
  <c r="I172" i="4"/>
  <c r="I310" i="4"/>
  <c r="I271" i="4"/>
  <c r="I116" i="4"/>
  <c r="I292" i="4"/>
  <c r="I277" i="4"/>
  <c r="I297" i="4"/>
  <c r="I7" i="4"/>
  <c r="I149" i="4"/>
  <c r="I33" i="4"/>
  <c r="I194" i="4"/>
  <c r="I78" i="4"/>
  <c r="I235" i="4"/>
  <c r="I96" i="4"/>
  <c r="I132" i="4"/>
  <c r="I317" i="4"/>
  <c r="I16" i="4"/>
  <c r="I169" i="4"/>
  <c r="I53" i="4"/>
  <c r="I210" i="4"/>
  <c r="I107" i="4"/>
  <c r="I251" i="4"/>
  <c r="I112" i="4"/>
  <c r="I267" i="4"/>
  <c r="I301" i="4"/>
  <c r="I64" i="4"/>
  <c r="I106" i="4"/>
  <c r="I167" i="4"/>
  <c r="I287" i="4"/>
  <c r="I200" i="4"/>
  <c r="I80" i="4"/>
  <c r="I146" i="4"/>
  <c r="I187" i="4"/>
  <c r="I307" i="4"/>
  <c r="I233" i="4"/>
  <c r="I13" i="4"/>
  <c r="I252" i="4"/>
  <c r="I316" i="4"/>
  <c r="C20" i="6"/>
  <c r="I286" i="4"/>
  <c r="I18" i="4"/>
  <c r="C16" i="6"/>
  <c r="I237" i="4"/>
  <c r="P6" i="9"/>
  <c r="O6" i="9" s="1"/>
  <c r="I95" i="4"/>
  <c r="I11" i="4"/>
  <c r="I10" i="4"/>
  <c r="I28" i="4"/>
  <c r="I44" i="4"/>
  <c r="I60" i="4"/>
  <c r="I76" i="4"/>
  <c r="I97" i="4"/>
  <c r="I113" i="4"/>
  <c r="I129" i="4"/>
  <c r="I145" i="4"/>
  <c r="I161" i="4"/>
  <c r="I177" i="4"/>
  <c r="I193" i="4"/>
  <c r="I209" i="4"/>
  <c r="I225" i="4"/>
  <c r="I241" i="4"/>
  <c r="I257" i="4"/>
  <c r="I6" i="4"/>
  <c r="I25" i="4"/>
  <c r="I41" i="4"/>
  <c r="I57" i="4"/>
  <c r="I73" i="4"/>
  <c r="I89" i="4"/>
  <c r="I110" i="4"/>
  <c r="I126" i="4"/>
  <c r="I142" i="4"/>
  <c r="I158" i="4"/>
  <c r="I174" i="4"/>
  <c r="I190" i="4"/>
  <c r="I206" i="4"/>
  <c r="I222" i="4"/>
  <c r="I238" i="4"/>
  <c r="I254" i="4"/>
  <c r="I8" i="4"/>
  <c r="I26" i="4"/>
  <c r="I42" i="4"/>
  <c r="I58" i="4"/>
  <c r="I74" i="4"/>
  <c r="I90" i="4"/>
  <c r="I111" i="4"/>
  <c r="I127" i="4"/>
  <c r="I143" i="4"/>
  <c r="I159" i="4"/>
  <c r="I175" i="4"/>
  <c r="I191" i="4"/>
  <c r="I207" i="4"/>
  <c r="I223" i="4"/>
  <c r="I239" i="4"/>
  <c r="I255" i="4"/>
  <c r="I59" i="4"/>
  <c r="I140" i="4"/>
  <c r="I204" i="4"/>
  <c r="I263" i="4"/>
  <c r="I282" i="4"/>
  <c r="I298" i="4"/>
  <c r="I314" i="4"/>
  <c r="I14" i="4"/>
  <c r="I79" i="4"/>
  <c r="I144" i="4"/>
  <c r="I208" i="4"/>
  <c r="I264" i="4"/>
  <c r="I283" i="4"/>
  <c r="I299" i="4"/>
  <c r="I315" i="4"/>
  <c r="I35" i="4"/>
  <c r="I100" i="4"/>
  <c r="I164" i="4"/>
  <c r="I228" i="4"/>
  <c r="I272" i="4"/>
  <c r="I288" i="4"/>
  <c r="I304" i="4"/>
  <c r="I320" i="4"/>
  <c r="I305" i="4"/>
  <c r="I168" i="4"/>
  <c r="I309" i="4"/>
  <c r="I93" i="4"/>
  <c r="I92" i="4"/>
  <c r="I4" i="4"/>
  <c r="I24" i="4"/>
  <c r="I48" i="4"/>
  <c r="I68" i="4"/>
  <c r="I88" i="4"/>
  <c r="I117" i="4"/>
  <c r="I137" i="4"/>
  <c r="I157" i="4"/>
  <c r="I181" i="4"/>
  <c r="I201" i="4"/>
  <c r="I221" i="4"/>
  <c r="I245" i="4"/>
  <c r="I265" i="4"/>
  <c r="I21" i="4"/>
  <c r="I45" i="4"/>
  <c r="I65" i="4"/>
  <c r="I85" i="4"/>
  <c r="I114" i="4"/>
  <c r="I134" i="4"/>
  <c r="I154" i="4"/>
  <c r="I178" i="4"/>
  <c r="I198" i="4"/>
  <c r="I218" i="4"/>
  <c r="I242" i="4"/>
  <c r="I262" i="4"/>
  <c r="I22" i="4"/>
  <c r="I46" i="4"/>
  <c r="I66" i="4"/>
  <c r="I86" i="4"/>
  <c r="I115" i="4"/>
  <c r="I135" i="4"/>
  <c r="I155" i="4"/>
  <c r="I179" i="4"/>
  <c r="I199" i="4"/>
  <c r="I219" i="4"/>
  <c r="I243" i="4"/>
  <c r="I27" i="4"/>
  <c r="I124" i="4"/>
  <c r="I220" i="4"/>
  <c r="I274" i="4"/>
  <c r="I294" i="4"/>
  <c r="I318" i="4"/>
  <c r="I47" i="4"/>
  <c r="I128" i="4"/>
  <c r="I224" i="4"/>
  <c r="I275" i="4"/>
  <c r="I295" i="4"/>
  <c r="I319" i="4"/>
  <c r="I67" i="4"/>
  <c r="I148" i="4"/>
  <c r="I244" i="4"/>
  <c r="I280" i="4"/>
  <c r="I300" i="4"/>
  <c r="I324" i="4"/>
  <c r="I273" i="4"/>
  <c r="I325" i="4"/>
  <c r="I184" i="4"/>
  <c r="I285" i="4"/>
  <c r="I87" i="4"/>
  <c r="I281" i="4"/>
  <c r="I71" i="4"/>
  <c r="I94" i="4"/>
  <c r="I3" i="4"/>
  <c r="I5" i="4"/>
  <c r="I32" i="4"/>
  <c r="I52" i="4"/>
  <c r="I72" i="4"/>
  <c r="I101" i="4"/>
  <c r="I121" i="4"/>
  <c r="I141" i="4"/>
  <c r="I165" i="4"/>
  <c r="I185" i="4"/>
  <c r="I205" i="4"/>
  <c r="I229" i="4"/>
  <c r="I249" i="4"/>
  <c r="I269" i="4"/>
  <c r="I29" i="4"/>
  <c r="I49" i="4"/>
  <c r="I69" i="4"/>
  <c r="I98" i="4"/>
  <c r="I118" i="4"/>
  <c r="I138" i="4"/>
  <c r="I162" i="4"/>
  <c r="I182" i="4"/>
  <c r="I202" i="4"/>
  <c r="I226" i="4"/>
  <c r="I246" i="4"/>
  <c r="I266" i="4"/>
  <c r="I30" i="4"/>
  <c r="I50" i="4"/>
  <c r="I70" i="4"/>
  <c r="I99" i="4"/>
  <c r="I119" i="4"/>
  <c r="I139" i="4"/>
  <c r="I163" i="4"/>
  <c r="I183" i="4"/>
  <c r="I203" i="4"/>
  <c r="I227" i="4"/>
  <c r="I247" i="4"/>
  <c r="I43" i="4"/>
  <c r="I156" i="4"/>
  <c r="I236" i="4"/>
  <c r="I278" i="4"/>
  <c r="I302" i="4"/>
  <c r="I322" i="4"/>
  <c r="I63" i="4"/>
  <c r="I160" i="4"/>
  <c r="I240" i="4"/>
  <c r="I279" i="4"/>
  <c r="I303" i="4"/>
  <c r="I323" i="4"/>
  <c r="I83" i="4"/>
  <c r="I180" i="4"/>
  <c r="I259" i="4"/>
  <c r="I284" i="4"/>
  <c r="I308" i="4"/>
  <c r="I55" i="4"/>
  <c r="I232" i="4"/>
  <c r="I293" i="4"/>
  <c r="I120" i="4"/>
  <c r="I268" i="4"/>
  <c r="I23" i="4"/>
  <c r="I260" i="4"/>
  <c r="I2" i="4"/>
  <c r="I15" i="4"/>
  <c r="I40" i="4"/>
  <c r="I84" i="4"/>
  <c r="I133" i="4"/>
  <c r="I173" i="4"/>
  <c r="I217" i="4"/>
  <c r="I261" i="4"/>
  <c r="I37" i="4"/>
  <c r="I81" i="4"/>
  <c r="I130" i="4"/>
  <c r="I170" i="4"/>
  <c r="I214" i="4"/>
  <c r="I258" i="4"/>
  <c r="I38" i="4"/>
  <c r="I82" i="4"/>
  <c r="I131" i="4"/>
  <c r="I171" i="4"/>
  <c r="I215" i="4"/>
  <c r="I9" i="4"/>
  <c r="I188" i="4"/>
  <c r="I290" i="4"/>
  <c r="I31" i="4"/>
  <c r="I192" i="4"/>
  <c r="I291" i="4"/>
  <c r="I51" i="4"/>
  <c r="I212" i="4"/>
  <c r="I296" i="4"/>
  <c r="I289" i="4"/>
  <c r="I248" i="4"/>
  <c r="I152" i="4"/>
  <c r="I136" i="4"/>
  <c r="I91" i="4"/>
  <c r="I36" i="4"/>
  <c r="I105" i="4"/>
  <c r="I153" i="4"/>
  <c r="I213" i="4"/>
  <c r="I12" i="4"/>
  <c r="I61" i="4"/>
  <c r="I122" i="4"/>
  <c r="I186" i="4"/>
  <c r="I234" i="4"/>
  <c r="I34" i="4"/>
  <c r="I103" i="4"/>
  <c r="I151" i="4"/>
  <c r="I211" i="4"/>
  <c r="I75" i="4"/>
  <c r="I270" i="4"/>
  <c r="I326" i="4"/>
  <c r="I256" i="4"/>
  <c r="I311" i="4"/>
  <c r="I196" i="4"/>
  <c r="I312" i="4"/>
  <c r="I39" i="4"/>
  <c r="I216" i="4"/>
  <c r="I313" i="4"/>
  <c r="I104" i="4"/>
  <c r="I276" i="4"/>
  <c r="I19" i="4"/>
  <c r="I176" i="4"/>
  <c r="I306" i="4"/>
  <c r="I108" i="4"/>
  <c r="I195" i="4"/>
  <c r="I123" i="4"/>
  <c r="I54" i="4"/>
  <c r="I230" i="4"/>
  <c r="I150" i="4"/>
  <c r="I77" i="4"/>
  <c r="I253" i="4"/>
  <c r="I189" i="4"/>
  <c r="I109" i="4"/>
  <c r="I20" i="4"/>
  <c r="E15" i="3"/>
  <c r="S15" i="17"/>
  <c r="R15" i="17" s="1"/>
  <c r="C17" i="6" l="1"/>
  <c r="C21" i="6"/>
  <c r="C18" i="6"/>
  <c r="B7" i="14"/>
  <c r="B9" i="14"/>
  <c r="B5" i="14"/>
  <c r="B4" i="14"/>
  <c r="B11" i="14"/>
  <c r="B6" i="14"/>
  <c r="B8" i="14"/>
  <c r="L321" i="4"/>
  <c r="N321" i="4" s="1"/>
  <c r="C19" i="6"/>
  <c r="C15" i="17"/>
  <c r="L176" i="4"/>
  <c r="K176" i="4"/>
  <c r="L103" i="4"/>
  <c r="K103" i="4"/>
  <c r="L9" i="4"/>
  <c r="K9" i="4"/>
  <c r="L84" i="4"/>
  <c r="K84" i="4"/>
  <c r="K323" i="4"/>
  <c r="L323" i="4"/>
  <c r="L163" i="4"/>
  <c r="K163" i="4"/>
  <c r="L162" i="4"/>
  <c r="K162" i="4"/>
  <c r="K165" i="4"/>
  <c r="L165" i="4"/>
  <c r="K273" i="4"/>
  <c r="L273" i="4"/>
  <c r="K220" i="4"/>
  <c r="L220" i="4"/>
  <c r="K218" i="4"/>
  <c r="L218" i="4"/>
  <c r="K93" i="4"/>
  <c r="L93" i="4"/>
  <c r="L253" i="4"/>
  <c r="K253" i="4"/>
  <c r="L54" i="4"/>
  <c r="K54" i="4"/>
  <c r="L306" i="4"/>
  <c r="K306" i="4"/>
  <c r="L104" i="4"/>
  <c r="K104" i="4"/>
  <c r="L312" i="4"/>
  <c r="K312" i="4"/>
  <c r="K326" i="4"/>
  <c r="L326" i="4"/>
  <c r="K151" i="4"/>
  <c r="L151" i="4"/>
  <c r="K186" i="4"/>
  <c r="L186" i="4"/>
  <c r="L213" i="4"/>
  <c r="K213" i="4"/>
  <c r="K91" i="4"/>
  <c r="L91" i="4"/>
  <c r="K289" i="4"/>
  <c r="L289" i="4"/>
  <c r="K291" i="4"/>
  <c r="L291" i="4"/>
  <c r="L188" i="4"/>
  <c r="K188" i="4"/>
  <c r="K131" i="4"/>
  <c r="L131" i="4"/>
  <c r="K214" i="4"/>
  <c r="L214" i="4"/>
  <c r="K37" i="4"/>
  <c r="L37" i="4"/>
  <c r="K133" i="4"/>
  <c r="L133" i="4"/>
  <c r="L2" i="4"/>
  <c r="K2" i="4"/>
  <c r="L120" i="4"/>
  <c r="K120" i="4"/>
  <c r="L308" i="4"/>
  <c r="K308" i="4"/>
  <c r="L83" i="4"/>
  <c r="K83" i="4"/>
  <c r="K240" i="4"/>
  <c r="L240" i="4"/>
  <c r="K302" i="4"/>
  <c r="L302" i="4"/>
  <c r="K43" i="4"/>
  <c r="L43" i="4"/>
  <c r="K183" i="4"/>
  <c r="L183" i="4"/>
  <c r="K99" i="4"/>
  <c r="L99" i="4"/>
  <c r="K266" i="4"/>
  <c r="L266" i="4"/>
  <c r="K182" i="4"/>
  <c r="L182" i="4"/>
  <c r="K98" i="4"/>
  <c r="L98" i="4"/>
  <c r="K269" i="4"/>
  <c r="L269" i="4"/>
  <c r="K185" i="4"/>
  <c r="L185" i="4"/>
  <c r="K101" i="4"/>
  <c r="L101" i="4"/>
  <c r="K5" i="4"/>
  <c r="L5" i="4"/>
  <c r="L281" i="4"/>
  <c r="K281" i="4"/>
  <c r="L325" i="4"/>
  <c r="K325" i="4"/>
  <c r="L280" i="4"/>
  <c r="K280" i="4"/>
  <c r="K319" i="4"/>
  <c r="L319" i="4"/>
  <c r="L128" i="4"/>
  <c r="K128" i="4"/>
  <c r="K274" i="4"/>
  <c r="L274" i="4"/>
  <c r="K243" i="4"/>
  <c r="L243" i="4"/>
  <c r="K155" i="4"/>
  <c r="L155" i="4"/>
  <c r="K66" i="4"/>
  <c r="L66" i="4"/>
  <c r="K242" i="4"/>
  <c r="L242" i="4"/>
  <c r="L154" i="4"/>
  <c r="K154" i="4"/>
  <c r="K65" i="4"/>
  <c r="L65" i="4"/>
  <c r="K245" i="4"/>
  <c r="L245" i="4"/>
  <c r="K157" i="4"/>
  <c r="L157" i="4"/>
  <c r="K68" i="4"/>
  <c r="L68" i="4"/>
  <c r="K92" i="4"/>
  <c r="L92" i="4"/>
  <c r="K305" i="4"/>
  <c r="L305" i="4"/>
  <c r="K272" i="4"/>
  <c r="L272" i="4"/>
  <c r="L35" i="4"/>
  <c r="K35" i="4"/>
  <c r="K264" i="4"/>
  <c r="L264" i="4"/>
  <c r="K14" i="4"/>
  <c r="L14" i="4"/>
  <c r="K263" i="4"/>
  <c r="L263" i="4"/>
  <c r="K255" i="4"/>
  <c r="L255" i="4"/>
  <c r="K191" i="4"/>
  <c r="L191" i="4"/>
  <c r="K127" i="4"/>
  <c r="L127" i="4"/>
  <c r="K58" i="4"/>
  <c r="L58" i="4"/>
  <c r="K254" i="4"/>
  <c r="L254" i="4"/>
  <c r="K190" i="4"/>
  <c r="L190" i="4"/>
  <c r="K126" i="4"/>
  <c r="L126" i="4"/>
  <c r="L57" i="4"/>
  <c r="K57" i="4"/>
  <c r="K257" i="4"/>
  <c r="L257" i="4"/>
  <c r="L193" i="4"/>
  <c r="K193" i="4"/>
  <c r="L129" i="4"/>
  <c r="K129" i="4"/>
  <c r="K60" i="4"/>
  <c r="L60" i="4"/>
  <c r="K11" i="4"/>
  <c r="L11" i="4"/>
  <c r="K316" i="4"/>
  <c r="L316" i="4"/>
  <c r="L307" i="4"/>
  <c r="K307" i="4"/>
  <c r="K200" i="4"/>
  <c r="L200" i="4"/>
  <c r="L64" i="4"/>
  <c r="K64" i="4"/>
  <c r="K251" i="4"/>
  <c r="L251" i="4"/>
  <c r="L169" i="4"/>
  <c r="K169" i="4"/>
  <c r="L96" i="4"/>
  <c r="K96" i="4"/>
  <c r="K33" i="4"/>
  <c r="L33" i="4"/>
  <c r="K277" i="4"/>
  <c r="L277" i="4"/>
  <c r="L310" i="4"/>
  <c r="K310" i="4"/>
  <c r="K62" i="4"/>
  <c r="L62" i="4"/>
  <c r="L17" i="4"/>
  <c r="K17" i="4"/>
  <c r="L20" i="4"/>
  <c r="K20" i="4"/>
  <c r="L313" i="4"/>
  <c r="K313" i="4"/>
  <c r="L122" i="4"/>
  <c r="K122" i="4"/>
  <c r="L296" i="4"/>
  <c r="K296" i="4"/>
  <c r="L170" i="4"/>
  <c r="K170" i="4"/>
  <c r="L293" i="4"/>
  <c r="K293" i="4"/>
  <c r="K278" i="4"/>
  <c r="L278" i="4"/>
  <c r="L3" i="4"/>
  <c r="K3" i="4"/>
  <c r="L295" i="4"/>
  <c r="K295" i="4"/>
  <c r="K135" i="4"/>
  <c r="L135" i="4"/>
  <c r="K45" i="4"/>
  <c r="L45" i="4"/>
  <c r="K137" i="4"/>
  <c r="L137" i="4"/>
  <c r="K320" i="4"/>
  <c r="L320" i="4"/>
  <c r="K228" i="4"/>
  <c r="L228" i="4"/>
  <c r="L315" i="4"/>
  <c r="K315" i="4"/>
  <c r="K208" i="4"/>
  <c r="L208" i="4"/>
  <c r="K314" i="4"/>
  <c r="L314" i="4"/>
  <c r="L204" i="4"/>
  <c r="K204" i="4"/>
  <c r="L239" i="4"/>
  <c r="K239" i="4"/>
  <c r="K175" i="4"/>
  <c r="L175" i="4"/>
  <c r="K111" i="4"/>
  <c r="L111" i="4"/>
  <c r="L42" i="4"/>
  <c r="K42" i="4"/>
  <c r="L238" i="4"/>
  <c r="K238" i="4"/>
  <c r="K174" i="4"/>
  <c r="L174" i="4"/>
  <c r="K110" i="4"/>
  <c r="L110" i="4"/>
  <c r="L41" i="4"/>
  <c r="K41" i="4"/>
  <c r="L241" i="4"/>
  <c r="K241" i="4"/>
  <c r="L177" i="4"/>
  <c r="K177" i="4"/>
  <c r="L113" i="4"/>
  <c r="K113" i="4"/>
  <c r="L44" i="4"/>
  <c r="K44" i="4"/>
  <c r="L95" i="4"/>
  <c r="K95" i="4"/>
  <c r="C15" i="6"/>
  <c r="L18" i="4"/>
  <c r="K18" i="4"/>
  <c r="K252" i="4"/>
  <c r="L252" i="4"/>
  <c r="L187" i="4"/>
  <c r="K187" i="4"/>
  <c r="L287" i="4"/>
  <c r="K287" i="4"/>
  <c r="K301" i="4"/>
  <c r="L301" i="4"/>
  <c r="L107" i="4"/>
  <c r="K107" i="4"/>
  <c r="L16" i="4"/>
  <c r="K16" i="4"/>
  <c r="K235" i="4"/>
  <c r="L235" i="4"/>
  <c r="L149" i="4"/>
  <c r="K149" i="4"/>
  <c r="L292" i="4"/>
  <c r="K292" i="4"/>
  <c r="L172" i="4"/>
  <c r="K172" i="4"/>
  <c r="K250" i="4"/>
  <c r="L250" i="4"/>
  <c r="K197" i="4"/>
  <c r="L197" i="4"/>
  <c r="L77" i="4"/>
  <c r="K77" i="4"/>
  <c r="L196" i="4"/>
  <c r="K196" i="4"/>
  <c r="L153" i="4"/>
  <c r="K153" i="4"/>
  <c r="L192" i="4"/>
  <c r="K192" i="4"/>
  <c r="L261" i="4"/>
  <c r="K261" i="4"/>
  <c r="L284" i="4"/>
  <c r="K284" i="4"/>
  <c r="L247" i="4"/>
  <c r="K247" i="4"/>
  <c r="K246" i="4"/>
  <c r="L246" i="4"/>
  <c r="K249" i="4"/>
  <c r="L249" i="4"/>
  <c r="L87" i="4"/>
  <c r="K87" i="4"/>
  <c r="K47" i="4"/>
  <c r="L47" i="4"/>
  <c r="K46" i="4"/>
  <c r="L46" i="4"/>
  <c r="K221" i="4"/>
  <c r="L221" i="4"/>
  <c r="L109" i="4"/>
  <c r="K109" i="4"/>
  <c r="K150" i="4"/>
  <c r="L150" i="4"/>
  <c r="L195" i="4"/>
  <c r="K195" i="4"/>
  <c r="K19" i="4"/>
  <c r="L19" i="4"/>
  <c r="K216" i="4"/>
  <c r="L216" i="4"/>
  <c r="L311" i="4"/>
  <c r="K311" i="4"/>
  <c r="L75" i="4"/>
  <c r="K75" i="4"/>
  <c r="L34" i="4"/>
  <c r="K34" i="4"/>
  <c r="L61" i="4"/>
  <c r="K61" i="4"/>
  <c r="K105" i="4"/>
  <c r="L105" i="4"/>
  <c r="K152" i="4"/>
  <c r="L152" i="4"/>
  <c r="L212" i="4"/>
  <c r="K212" i="4"/>
  <c r="L31" i="4"/>
  <c r="K31" i="4"/>
  <c r="L215" i="4"/>
  <c r="K215" i="4"/>
  <c r="L38" i="4"/>
  <c r="K38" i="4"/>
  <c r="L130" i="4"/>
  <c r="K130" i="4"/>
  <c r="L217" i="4"/>
  <c r="K217" i="4"/>
  <c r="L40" i="4"/>
  <c r="K40" i="4"/>
  <c r="K23" i="4"/>
  <c r="L23" i="4"/>
  <c r="K232" i="4"/>
  <c r="L232" i="4"/>
  <c r="K259" i="4"/>
  <c r="L259" i="4"/>
  <c r="L303" i="4"/>
  <c r="K303" i="4"/>
  <c r="L63" i="4"/>
  <c r="K63" i="4"/>
  <c r="L236" i="4"/>
  <c r="K236" i="4"/>
  <c r="L227" i="4"/>
  <c r="K227" i="4"/>
  <c r="L139" i="4"/>
  <c r="K139" i="4"/>
  <c r="L50" i="4"/>
  <c r="K50" i="4"/>
  <c r="L226" i="4"/>
  <c r="K226" i="4"/>
  <c r="K138" i="4"/>
  <c r="L138" i="4"/>
  <c r="K49" i="4"/>
  <c r="L49" i="4"/>
  <c r="L229" i="4"/>
  <c r="K229" i="4"/>
  <c r="L141" i="4"/>
  <c r="K141" i="4"/>
  <c r="K52" i="4"/>
  <c r="L52" i="4"/>
  <c r="K94" i="4"/>
  <c r="L94" i="4"/>
  <c r="L285" i="4"/>
  <c r="K285" i="4"/>
  <c r="L324" i="4"/>
  <c r="K324" i="4"/>
  <c r="L148" i="4"/>
  <c r="K148" i="4"/>
  <c r="K275" i="4"/>
  <c r="L275" i="4"/>
  <c r="K318" i="4"/>
  <c r="L318" i="4"/>
  <c r="K124" i="4"/>
  <c r="L124" i="4"/>
  <c r="K199" i="4"/>
  <c r="L199" i="4"/>
  <c r="K115" i="4"/>
  <c r="L115" i="4"/>
  <c r="L22" i="4"/>
  <c r="K22" i="4"/>
  <c r="K198" i="4"/>
  <c r="L198" i="4"/>
  <c r="K114" i="4"/>
  <c r="L114" i="4"/>
  <c r="K21" i="4"/>
  <c r="L21" i="4"/>
  <c r="L201" i="4"/>
  <c r="K201" i="4"/>
  <c r="K117" i="4"/>
  <c r="L117" i="4"/>
  <c r="K24" i="4"/>
  <c r="L24" i="4"/>
  <c r="L309" i="4"/>
  <c r="K309" i="4"/>
  <c r="K304" i="4"/>
  <c r="L304" i="4"/>
  <c r="K164" i="4"/>
  <c r="L164" i="4"/>
  <c r="L299" i="4"/>
  <c r="K299" i="4"/>
  <c r="L144" i="4"/>
  <c r="K144" i="4"/>
  <c r="L298" i="4"/>
  <c r="K298" i="4"/>
  <c r="L140" i="4"/>
  <c r="K140" i="4"/>
  <c r="L223" i="4"/>
  <c r="K223" i="4"/>
  <c r="L159" i="4"/>
  <c r="K159" i="4"/>
  <c r="L90" i="4"/>
  <c r="K90" i="4"/>
  <c r="L26" i="4"/>
  <c r="K26" i="4"/>
  <c r="L222" i="4"/>
  <c r="K222" i="4"/>
  <c r="L158" i="4"/>
  <c r="K158" i="4"/>
  <c r="K89" i="4"/>
  <c r="L89" i="4"/>
  <c r="L25" i="4"/>
  <c r="K25" i="4"/>
  <c r="K225" i="4"/>
  <c r="L225" i="4"/>
  <c r="L161" i="4"/>
  <c r="K161" i="4"/>
  <c r="L97" i="4"/>
  <c r="K97" i="4"/>
  <c r="K28" i="4"/>
  <c r="L28" i="4"/>
  <c r="L286" i="4"/>
  <c r="K286" i="4"/>
  <c r="L13" i="4"/>
  <c r="K13" i="4"/>
  <c r="L146" i="4"/>
  <c r="K146" i="4"/>
  <c r="L167" i="4"/>
  <c r="K167" i="4"/>
  <c r="K267" i="4"/>
  <c r="L267" i="4"/>
  <c r="L210" i="4"/>
  <c r="K210" i="4"/>
  <c r="K317" i="4"/>
  <c r="L317" i="4"/>
  <c r="L78" i="4"/>
  <c r="K78" i="4"/>
  <c r="L7" i="4"/>
  <c r="K7" i="4"/>
  <c r="L116" i="4"/>
  <c r="K116" i="4"/>
  <c r="L231" i="4"/>
  <c r="K231" i="4"/>
  <c r="L166" i="4"/>
  <c r="K166" i="4"/>
  <c r="L125" i="4"/>
  <c r="K125" i="4"/>
  <c r="K123" i="4"/>
  <c r="L123" i="4"/>
  <c r="K270" i="4"/>
  <c r="L270" i="4"/>
  <c r="L136" i="4"/>
  <c r="K136" i="4"/>
  <c r="L82" i="4"/>
  <c r="K82" i="4"/>
  <c r="L260" i="4"/>
  <c r="K260" i="4"/>
  <c r="L160" i="4"/>
  <c r="K160" i="4"/>
  <c r="K70" i="4"/>
  <c r="L70" i="4"/>
  <c r="K69" i="4"/>
  <c r="L69" i="4"/>
  <c r="L72" i="4"/>
  <c r="K72" i="4"/>
  <c r="K244" i="4"/>
  <c r="L244" i="4"/>
  <c r="L219" i="4"/>
  <c r="K219" i="4"/>
  <c r="K134" i="4"/>
  <c r="L134" i="4"/>
  <c r="K48" i="4"/>
  <c r="L48" i="4"/>
  <c r="L189" i="4"/>
  <c r="K189" i="4"/>
  <c r="L230" i="4"/>
  <c r="K230" i="4"/>
  <c r="L108" i="4"/>
  <c r="K108" i="4"/>
  <c r="K276" i="4"/>
  <c r="L276" i="4"/>
  <c r="L39" i="4"/>
  <c r="K39" i="4"/>
  <c r="L256" i="4"/>
  <c r="K256" i="4"/>
  <c r="L211" i="4"/>
  <c r="K211" i="4"/>
  <c r="L234" i="4"/>
  <c r="K234" i="4"/>
  <c r="L12" i="4"/>
  <c r="K12" i="4"/>
  <c r="K36" i="4"/>
  <c r="L36" i="4"/>
  <c r="K248" i="4"/>
  <c r="L248" i="4"/>
  <c r="K51" i="4"/>
  <c r="L51" i="4"/>
  <c r="L290" i="4"/>
  <c r="K290" i="4"/>
  <c r="L171" i="4"/>
  <c r="K171" i="4"/>
  <c r="L258" i="4"/>
  <c r="K258" i="4"/>
  <c r="L81" i="4"/>
  <c r="K81" i="4"/>
  <c r="L173" i="4"/>
  <c r="K173" i="4"/>
  <c r="L15" i="4"/>
  <c r="K15" i="4"/>
  <c r="K268" i="4"/>
  <c r="L268" i="4"/>
  <c r="L55" i="4"/>
  <c r="K55" i="4"/>
  <c r="L180" i="4"/>
  <c r="K180" i="4"/>
  <c r="K279" i="4"/>
  <c r="L279" i="4"/>
  <c r="K322" i="4"/>
  <c r="L322" i="4"/>
  <c r="K156" i="4"/>
  <c r="L156" i="4"/>
  <c r="K203" i="4"/>
  <c r="L203" i="4"/>
  <c r="L119" i="4"/>
  <c r="K119" i="4"/>
  <c r="K30" i="4"/>
  <c r="L30" i="4"/>
  <c r="K202" i="4"/>
  <c r="L202" i="4"/>
  <c r="L118" i="4"/>
  <c r="K118" i="4"/>
  <c r="L29" i="4"/>
  <c r="K29" i="4"/>
  <c r="K205" i="4"/>
  <c r="L205" i="4"/>
  <c r="K121" i="4"/>
  <c r="L121" i="4"/>
  <c r="L32" i="4"/>
  <c r="K32" i="4"/>
  <c r="K71" i="4"/>
  <c r="L71" i="4"/>
  <c r="K184" i="4"/>
  <c r="L184" i="4"/>
  <c r="L300" i="4"/>
  <c r="K300" i="4"/>
  <c r="L67" i="4"/>
  <c r="K67" i="4"/>
  <c r="K224" i="4"/>
  <c r="L224" i="4"/>
  <c r="K294" i="4"/>
  <c r="L294" i="4"/>
  <c r="K27" i="4"/>
  <c r="L27" i="4"/>
  <c r="K179" i="4"/>
  <c r="L179" i="4"/>
  <c r="K86" i="4"/>
  <c r="L86" i="4"/>
  <c r="K262" i="4"/>
  <c r="L262" i="4"/>
  <c r="K178" i="4"/>
  <c r="L178" i="4"/>
  <c r="L85" i="4"/>
  <c r="K85" i="4"/>
  <c r="L265" i="4"/>
  <c r="K265" i="4"/>
  <c r="K181" i="4"/>
  <c r="L181" i="4"/>
  <c r="K88" i="4"/>
  <c r="L88" i="4"/>
  <c r="K4" i="4"/>
  <c r="L4" i="4"/>
  <c r="L168" i="4"/>
  <c r="K168" i="4"/>
  <c r="L288" i="4"/>
  <c r="K288" i="4"/>
  <c r="L100" i="4"/>
  <c r="K100" i="4"/>
  <c r="L283" i="4"/>
  <c r="K283" i="4"/>
  <c r="K79" i="4"/>
  <c r="L79" i="4"/>
  <c r="L282" i="4"/>
  <c r="K282" i="4"/>
  <c r="L59" i="4"/>
  <c r="K59" i="4"/>
  <c r="K207" i="4"/>
  <c r="L207" i="4"/>
  <c r="K143" i="4"/>
  <c r="L143" i="4"/>
  <c r="L74" i="4"/>
  <c r="K74" i="4"/>
  <c r="L8" i="4"/>
  <c r="K8" i="4"/>
  <c r="L206" i="4"/>
  <c r="K206" i="4"/>
  <c r="K142" i="4"/>
  <c r="L142" i="4"/>
  <c r="K73" i="4"/>
  <c r="L73" i="4"/>
  <c r="K6" i="4"/>
  <c r="L6" i="4"/>
  <c r="K209" i="4"/>
  <c r="L209" i="4"/>
  <c r="K145" i="4"/>
  <c r="L145" i="4"/>
  <c r="K76" i="4"/>
  <c r="L76" i="4"/>
  <c r="K10" i="4"/>
  <c r="L10" i="4"/>
  <c r="K237" i="4"/>
  <c r="L237" i="4"/>
  <c r="J321" i="4"/>
  <c r="L233" i="4"/>
  <c r="K233" i="4"/>
  <c r="L80" i="4"/>
  <c r="K80" i="4"/>
  <c r="L106" i="4"/>
  <c r="K106" i="4"/>
  <c r="K112" i="4"/>
  <c r="L112" i="4"/>
  <c r="L53" i="4"/>
  <c r="K53" i="4"/>
  <c r="K132" i="4"/>
  <c r="L132" i="4"/>
  <c r="L194" i="4"/>
  <c r="K194" i="4"/>
  <c r="L297" i="4"/>
  <c r="K297" i="4"/>
  <c r="L271" i="4"/>
  <c r="K271" i="4"/>
  <c r="L147" i="4"/>
  <c r="K147" i="4"/>
  <c r="L102" i="4"/>
  <c r="K102" i="4"/>
  <c r="L56" i="4"/>
  <c r="K56" i="4"/>
  <c r="J132" i="4" l="1"/>
  <c r="N132" i="4"/>
  <c r="N76" i="4"/>
  <c r="J76" i="4"/>
  <c r="N73" i="4"/>
  <c r="J73" i="4"/>
  <c r="J102" i="4"/>
  <c r="N102" i="4"/>
  <c r="N271" i="4"/>
  <c r="J271" i="4"/>
  <c r="N194" i="4"/>
  <c r="J194" i="4"/>
  <c r="N53" i="4"/>
  <c r="J53" i="4"/>
  <c r="N106" i="4"/>
  <c r="J106" i="4"/>
  <c r="J233" i="4"/>
  <c r="N233" i="4"/>
  <c r="N206" i="4"/>
  <c r="J206" i="4"/>
  <c r="N74" i="4"/>
  <c r="J74" i="4"/>
  <c r="N282" i="4"/>
  <c r="J282" i="4"/>
  <c r="N283" i="4"/>
  <c r="J283" i="4"/>
  <c r="N288" i="4"/>
  <c r="J288" i="4"/>
  <c r="N85" i="4"/>
  <c r="J85" i="4"/>
  <c r="N67" i="4"/>
  <c r="J67" i="4"/>
  <c r="J32" i="4"/>
  <c r="N32" i="4"/>
  <c r="N118" i="4"/>
  <c r="J118" i="4"/>
  <c r="N180" i="4"/>
  <c r="J180" i="4"/>
  <c r="N173" i="4"/>
  <c r="J173" i="4"/>
  <c r="N258" i="4"/>
  <c r="J258" i="4"/>
  <c r="N290" i="4"/>
  <c r="J290" i="4"/>
  <c r="J12" i="4"/>
  <c r="N12" i="4"/>
  <c r="J211" i="4"/>
  <c r="N211" i="4"/>
  <c r="N39" i="4"/>
  <c r="J39" i="4"/>
  <c r="N108" i="4"/>
  <c r="J108" i="4"/>
  <c r="N189" i="4"/>
  <c r="J189" i="4"/>
  <c r="J160" i="4"/>
  <c r="N160" i="4"/>
  <c r="N82" i="4"/>
  <c r="J82" i="4"/>
  <c r="J125" i="4"/>
  <c r="N125" i="4"/>
  <c r="N231" i="4"/>
  <c r="J231" i="4"/>
  <c r="N7" i="4"/>
  <c r="J7" i="4"/>
  <c r="N146" i="4"/>
  <c r="J146" i="4"/>
  <c r="J286" i="4"/>
  <c r="N286" i="4"/>
  <c r="N97" i="4"/>
  <c r="J97" i="4"/>
  <c r="N222" i="4"/>
  <c r="J222" i="4"/>
  <c r="J90" i="4"/>
  <c r="N90" i="4"/>
  <c r="N223" i="4"/>
  <c r="J223" i="4"/>
  <c r="N298" i="4"/>
  <c r="J298" i="4"/>
  <c r="N299" i="4"/>
  <c r="J299" i="4"/>
  <c r="N201" i="4"/>
  <c r="J201" i="4"/>
  <c r="N22" i="4"/>
  <c r="J22" i="4"/>
  <c r="J148" i="4"/>
  <c r="N148" i="4"/>
  <c r="N285" i="4"/>
  <c r="J285" i="4"/>
  <c r="N229" i="4"/>
  <c r="J229" i="4"/>
  <c r="N50" i="4"/>
  <c r="J50" i="4"/>
  <c r="J227" i="4"/>
  <c r="N227" i="4"/>
  <c r="N63" i="4"/>
  <c r="J63" i="4"/>
  <c r="J217" i="4"/>
  <c r="N217" i="4"/>
  <c r="N38" i="4"/>
  <c r="J38" i="4"/>
  <c r="N31" i="4"/>
  <c r="J31" i="4"/>
  <c r="N61" i="4"/>
  <c r="J61" i="4"/>
  <c r="N75" i="4"/>
  <c r="J75" i="4"/>
  <c r="N195" i="4"/>
  <c r="J195" i="4"/>
  <c r="N109" i="4"/>
  <c r="J109" i="4"/>
  <c r="J87" i="4"/>
  <c r="N87" i="4"/>
  <c r="N284" i="4"/>
  <c r="J284" i="4"/>
  <c r="N192" i="4"/>
  <c r="J192" i="4"/>
  <c r="N196" i="4"/>
  <c r="J196" i="4"/>
  <c r="N172" i="4"/>
  <c r="J172" i="4"/>
  <c r="J149" i="4"/>
  <c r="N149" i="4"/>
  <c r="J16" i="4"/>
  <c r="N16" i="4"/>
  <c r="N187" i="4"/>
  <c r="J187" i="4"/>
  <c r="N18" i="4"/>
  <c r="J18" i="4"/>
  <c r="N174" i="4"/>
  <c r="J174" i="4"/>
  <c r="J175" i="4"/>
  <c r="N175" i="4"/>
  <c r="J208" i="4"/>
  <c r="N208" i="4"/>
  <c r="J228" i="4"/>
  <c r="N228" i="4"/>
  <c r="N137" i="4"/>
  <c r="J137" i="4"/>
  <c r="N135" i="4"/>
  <c r="J135" i="4"/>
  <c r="N33" i="4"/>
  <c r="J33" i="4"/>
  <c r="N11" i="4"/>
  <c r="J11" i="4"/>
  <c r="N257" i="4"/>
  <c r="J257" i="4"/>
  <c r="J126" i="4"/>
  <c r="N126" i="4"/>
  <c r="N254" i="4"/>
  <c r="J254" i="4"/>
  <c r="J127" i="4"/>
  <c r="N127" i="4"/>
  <c r="N255" i="4"/>
  <c r="J255" i="4"/>
  <c r="J14" i="4"/>
  <c r="N14" i="4"/>
  <c r="N305" i="4"/>
  <c r="J305" i="4"/>
  <c r="N68" i="4"/>
  <c r="J68" i="4"/>
  <c r="N245" i="4"/>
  <c r="J245" i="4"/>
  <c r="N66" i="4"/>
  <c r="J66" i="4"/>
  <c r="J243" i="4"/>
  <c r="N243" i="4"/>
  <c r="J101" i="4"/>
  <c r="N101" i="4"/>
  <c r="N269" i="4"/>
  <c r="J269" i="4"/>
  <c r="J182" i="4"/>
  <c r="N182" i="4"/>
  <c r="J99" i="4"/>
  <c r="N99" i="4"/>
  <c r="N43" i="4"/>
  <c r="J43" i="4"/>
  <c r="N240" i="4"/>
  <c r="J240" i="4"/>
  <c r="N37" i="4"/>
  <c r="J37" i="4"/>
  <c r="N131" i="4"/>
  <c r="J131" i="4"/>
  <c r="N291" i="4"/>
  <c r="J291" i="4"/>
  <c r="J91" i="4"/>
  <c r="N91" i="4"/>
  <c r="N186" i="4"/>
  <c r="J186" i="4"/>
  <c r="J326" i="4"/>
  <c r="N326" i="4"/>
  <c r="N93" i="4"/>
  <c r="J93" i="4"/>
  <c r="J220" i="4"/>
  <c r="N220" i="4"/>
  <c r="J165" i="4"/>
  <c r="N165" i="4"/>
  <c r="N112" i="4"/>
  <c r="J112" i="4"/>
  <c r="J6" i="4"/>
  <c r="N6" i="4"/>
  <c r="N88" i="4"/>
  <c r="J88" i="4"/>
  <c r="N86" i="4"/>
  <c r="J86" i="4"/>
  <c r="J71" i="4"/>
  <c r="N71" i="4"/>
  <c r="N202" i="4"/>
  <c r="J202" i="4"/>
  <c r="N156" i="4"/>
  <c r="J156" i="4"/>
  <c r="J51" i="4"/>
  <c r="N51" i="4"/>
  <c r="N276" i="4"/>
  <c r="J276" i="4"/>
  <c r="N48" i="4"/>
  <c r="J48" i="4"/>
  <c r="N70" i="4"/>
  <c r="J70" i="4"/>
  <c r="J123" i="4"/>
  <c r="N123" i="4"/>
  <c r="N28" i="4"/>
  <c r="J28" i="4"/>
  <c r="N164" i="4"/>
  <c r="J164" i="4"/>
  <c r="J117" i="4"/>
  <c r="N117" i="4"/>
  <c r="J21" i="4"/>
  <c r="N21" i="4"/>
  <c r="N198" i="4"/>
  <c r="J198" i="4"/>
  <c r="J115" i="4"/>
  <c r="N115" i="4"/>
  <c r="N124" i="4"/>
  <c r="J124" i="4"/>
  <c r="N275" i="4"/>
  <c r="J275" i="4"/>
  <c r="N94" i="4"/>
  <c r="J94" i="4"/>
  <c r="J49" i="4"/>
  <c r="N49" i="4"/>
  <c r="N232" i="4"/>
  <c r="J232" i="4"/>
  <c r="J105" i="4"/>
  <c r="N105" i="4"/>
  <c r="N19" i="4"/>
  <c r="J19" i="4"/>
  <c r="N150" i="4"/>
  <c r="J150" i="4"/>
  <c r="N221" i="4"/>
  <c r="J221" i="4"/>
  <c r="J47" i="4"/>
  <c r="N47" i="4"/>
  <c r="J249" i="4"/>
  <c r="N249" i="4"/>
  <c r="N250" i="4"/>
  <c r="J250" i="4"/>
  <c r="N235" i="4"/>
  <c r="J235" i="4"/>
  <c r="N252" i="4"/>
  <c r="J252" i="4"/>
  <c r="N44" i="4"/>
  <c r="J44" i="4"/>
  <c r="N177" i="4"/>
  <c r="J177" i="4"/>
  <c r="N41" i="4"/>
  <c r="J41" i="4"/>
  <c r="J42" i="4"/>
  <c r="N42" i="4"/>
  <c r="N204" i="4"/>
  <c r="J204" i="4"/>
  <c r="J3" i="4"/>
  <c r="N3" i="4"/>
  <c r="J293" i="4"/>
  <c r="N293" i="4"/>
  <c r="N296" i="4"/>
  <c r="J296" i="4"/>
  <c r="J313" i="4"/>
  <c r="N313" i="4"/>
  <c r="N17" i="4"/>
  <c r="J17" i="4"/>
  <c r="J310" i="4"/>
  <c r="N310" i="4"/>
  <c r="N169" i="4"/>
  <c r="J169" i="4"/>
  <c r="N64" i="4"/>
  <c r="J64" i="4"/>
  <c r="J307" i="4"/>
  <c r="N307" i="4"/>
  <c r="N129" i="4"/>
  <c r="J129" i="4"/>
  <c r="N35" i="4"/>
  <c r="J35" i="4"/>
  <c r="N154" i="4"/>
  <c r="J154" i="4"/>
  <c r="N128" i="4"/>
  <c r="J128" i="4"/>
  <c r="N280" i="4"/>
  <c r="J280" i="4"/>
  <c r="J281" i="4"/>
  <c r="N281" i="4"/>
  <c r="J308" i="4"/>
  <c r="N308" i="4"/>
  <c r="N2" i="4"/>
  <c r="J2" i="4"/>
  <c r="N104" i="4"/>
  <c r="J104" i="4"/>
  <c r="J54" i="4"/>
  <c r="N54" i="4"/>
  <c r="J163" i="4"/>
  <c r="N163" i="4"/>
  <c r="N84" i="4"/>
  <c r="J84" i="4"/>
  <c r="J103" i="4"/>
  <c r="N103" i="4"/>
  <c r="J10" i="4"/>
  <c r="N10" i="4"/>
  <c r="N142" i="4"/>
  <c r="J142" i="4"/>
  <c r="N79" i="4"/>
  <c r="J79" i="4"/>
  <c r="N178" i="4"/>
  <c r="J178" i="4"/>
  <c r="N224" i="4"/>
  <c r="J224" i="4"/>
  <c r="N36" i="4"/>
  <c r="J36" i="4"/>
  <c r="N56" i="4"/>
  <c r="J56" i="4"/>
  <c r="N147" i="4"/>
  <c r="J147" i="4"/>
  <c r="N297" i="4"/>
  <c r="J297" i="4"/>
  <c r="J80" i="4"/>
  <c r="N80" i="4"/>
  <c r="N8" i="4"/>
  <c r="J8" i="4"/>
  <c r="N59" i="4"/>
  <c r="J59" i="4"/>
  <c r="J100" i="4"/>
  <c r="N100" i="4"/>
  <c r="N168" i="4"/>
  <c r="J168" i="4"/>
  <c r="N265" i="4"/>
  <c r="J265" i="4"/>
  <c r="J300" i="4"/>
  <c r="N300" i="4"/>
  <c r="J29" i="4"/>
  <c r="N29" i="4"/>
  <c r="N119" i="4"/>
  <c r="J119" i="4"/>
  <c r="N55" i="4"/>
  <c r="J55" i="4"/>
  <c r="N15" i="4"/>
  <c r="J15" i="4"/>
  <c r="J81" i="4"/>
  <c r="N81" i="4"/>
  <c r="N171" i="4"/>
  <c r="J171" i="4"/>
  <c r="J234" i="4"/>
  <c r="N234" i="4"/>
  <c r="J256" i="4"/>
  <c r="N256" i="4"/>
  <c r="N230" i="4"/>
  <c r="J230" i="4"/>
  <c r="N219" i="4"/>
  <c r="J219" i="4"/>
  <c r="J72" i="4"/>
  <c r="N72" i="4"/>
  <c r="J260" i="4"/>
  <c r="N260" i="4"/>
  <c r="N136" i="4"/>
  <c r="J136" i="4"/>
  <c r="N166" i="4"/>
  <c r="J166" i="4"/>
  <c r="N116" i="4"/>
  <c r="J116" i="4"/>
  <c r="N78" i="4"/>
  <c r="J78" i="4"/>
  <c r="N210" i="4"/>
  <c r="J210" i="4"/>
  <c r="J167" i="4"/>
  <c r="N167" i="4"/>
  <c r="J13" i="4"/>
  <c r="N13" i="4"/>
  <c r="N161" i="4"/>
  <c r="J161" i="4"/>
  <c r="N25" i="4"/>
  <c r="J25" i="4"/>
  <c r="J158" i="4"/>
  <c r="N158" i="4"/>
  <c r="J26" i="4"/>
  <c r="N26" i="4"/>
  <c r="J159" i="4"/>
  <c r="N159" i="4"/>
  <c r="J140" i="4"/>
  <c r="N140" i="4"/>
  <c r="J144" i="4"/>
  <c r="N144" i="4"/>
  <c r="J309" i="4"/>
  <c r="N309" i="4"/>
  <c r="N324" i="4"/>
  <c r="J324" i="4"/>
  <c r="N141" i="4"/>
  <c r="J141" i="4"/>
  <c r="N226" i="4"/>
  <c r="J226" i="4"/>
  <c r="N139" i="4"/>
  <c r="J139" i="4"/>
  <c r="J236" i="4"/>
  <c r="N236" i="4"/>
  <c r="N303" i="4"/>
  <c r="J303" i="4"/>
  <c r="N40" i="4"/>
  <c r="J40" i="4"/>
  <c r="N130" i="4"/>
  <c r="J130" i="4"/>
  <c r="N215" i="4"/>
  <c r="J215" i="4"/>
  <c r="J212" i="4"/>
  <c r="N212" i="4"/>
  <c r="J34" i="4"/>
  <c r="N34" i="4"/>
  <c r="N311" i="4"/>
  <c r="J311" i="4"/>
  <c r="J247" i="4"/>
  <c r="N247" i="4"/>
  <c r="N261" i="4"/>
  <c r="J261" i="4"/>
  <c r="N153" i="4"/>
  <c r="J153" i="4"/>
  <c r="N77" i="4"/>
  <c r="J77" i="4"/>
  <c r="N292" i="4"/>
  <c r="J292" i="4"/>
  <c r="J107" i="4"/>
  <c r="N107" i="4"/>
  <c r="N287" i="4"/>
  <c r="J287" i="4"/>
  <c r="N110" i="4"/>
  <c r="J110" i="4"/>
  <c r="N111" i="4"/>
  <c r="J111" i="4"/>
  <c r="J314" i="4"/>
  <c r="N314" i="4"/>
  <c r="J320" i="4"/>
  <c r="N320" i="4"/>
  <c r="J45" i="4"/>
  <c r="N45" i="4"/>
  <c r="N278" i="4"/>
  <c r="J278" i="4"/>
  <c r="N62" i="4"/>
  <c r="J62" i="4"/>
  <c r="N277" i="4"/>
  <c r="J277" i="4"/>
  <c r="J251" i="4"/>
  <c r="N251" i="4"/>
  <c r="N200" i="4"/>
  <c r="J200" i="4"/>
  <c r="J316" i="4"/>
  <c r="N316" i="4"/>
  <c r="N60" i="4"/>
  <c r="J60" i="4"/>
  <c r="J190" i="4"/>
  <c r="N190" i="4"/>
  <c r="J58" i="4"/>
  <c r="N58" i="4"/>
  <c r="N191" i="4"/>
  <c r="J191" i="4"/>
  <c r="J263" i="4"/>
  <c r="N263" i="4"/>
  <c r="J264" i="4"/>
  <c r="N264" i="4"/>
  <c r="N272" i="4"/>
  <c r="J272" i="4"/>
  <c r="N92" i="4"/>
  <c r="J92" i="4"/>
  <c r="J157" i="4"/>
  <c r="N157" i="4"/>
  <c r="N65" i="4"/>
  <c r="J65" i="4"/>
  <c r="J242" i="4"/>
  <c r="N242" i="4"/>
  <c r="N155" i="4"/>
  <c r="J155" i="4"/>
  <c r="J274" i="4"/>
  <c r="N274" i="4"/>
  <c r="J319" i="4"/>
  <c r="N319" i="4"/>
  <c r="J5" i="4"/>
  <c r="N5" i="4"/>
  <c r="N185" i="4"/>
  <c r="J185" i="4"/>
  <c r="J98" i="4"/>
  <c r="N98" i="4"/>
  <c r="J266" i="4"/>
  <c r="N266" i="4"/>
  <c r="N183" i="4"/>
  <c r="J183" i="4"/>
  <c r="N302" i="4"/>
  <c r="J302" i="4"/>
  <c r="N133" i="4"/>
  <c r="J133" i="4"/>
  <c r="N214" i="4"/>
  <c r="J214" i="4"/>
  <c r="N289" i="4"/>
  <c r="J289" i="4"/>
  <c r="N151" i="4"/>
  <c r="J151" i="4"/>
  <c r="N218" i="4"/>
  <c r="J218" i="4"/>
  <c r="N273" i="4"/>
  <c r="J273" i="4"/>
  <c r="J323" i="4"/>
  <c r="N323" i="4"/>
  <c r="N145" i="4"/>
  <c r="J145" i="4"/>
  <c r="N143" i="4"/>
  <c r="J143" i="4"/>
  <c r="N27" i="4"/>
  <c r="J27" i="4"/>
  <c r="J121" i="4"/>
  <c r="N121" i="4"/>
  <c r="N279" i="4"/>
  <c r="J279" i="4"/>
  <c r="N237" i="4"/>
  <c r="J237" i="4"/>
  <c r="J209" i="4"/>
  <c r="N209" i="4"/>
  <c r="N207" i="4"/>
  <c r="J207" i="4"/>
  <c r="N4" i="4"/>
  <c r="J4" i="4"/>
  <c r="N181" i="4"/>
  <c r="J181" i="4"/>
  <c r="N262" i="4"/>
  <c r="J262" i="4"/>
  <c r="N179" i="4"/>
  <c r="J179" i="4"/>
  <c r="N294" i="4"/>
  <c r="J294" i="4"/>
  <c r="N184" i="4"/>
  <c r="J184" i="4"/>
  <c r="N205" i="4"/>
  <c r="J205" i="4"/>
  <c r="N30" i="4"/>
  <c r="J30" i="4"/>
  <c r="N203" i="4"/>
  <c r="J203" i="4"/>
  <c r="N322" i="4"/>
  <c r="J322" i="4"/>
  <c r="N268" i="4"/>
  <c r="J268" i="4"/>
  <c r="J248" i="4"/>
  <c r="N248" i="4"/>
  <c r="N134" i="4"/>
  <c r="J134" i="4"/>
  <c r="J244" i="4"/>
  <c r="N244" i="4"/>
  <c r="J69" i="4"/>
  <c r="N69" i="4"/>
  <c r="N270" i="4"/>
  <c r="J270" i="4"/>
  <c r="N317" i="4"/>
  <c r="J317" i="4"/>
  <c r="N267" i="4"/>
  <c r="J267" i="4"/>
  <c r="N225" i="4"/>
  <c r="J225" i="4"/>
  <c r="N89" i="4"/>
  <c r="J89" i="4"/>
  <c r="J304" i="4"/>
  <c r="N304" i="4"/>
  <c r="J24" i="4"/>
  <c r="N24" i="4"/>
  <c r="J114" i="4"/>
  <c r="N114" i="4"/>
  <c r="J199" i="4"/>
  <c r="N199" i="4"/>
  <c r="J318" i="4"/>
  <c r="N318" i="4"/>
  <c r="J52" i="4"/>
  <c r="N52" i="4"/>
  <c r="N138" i="4"/>
  <c r="J138" i="4"/>
  <c r="N259" i="4"/>
  <c r="J259" i="4"/>
  <c r="N23" i="4"/>
  <c r="J23" i="4"/>
  <c r="N152" i="4"/>
  <c r="J152" i="4"/>
  <c r="N216" i="4"/>
  <c r="J216" i="4"/>
  <c r="J46" i="4"/>
  <c r="N46" i="4"/>
  <c r="J246" i="4"/>
  <c r="N246" i="4"/>
  <c r="N197" i="4"/>
  <c r="J197" i="4"/>
  <c r="N301" i="4"/>
  <c r="J301" i="4"/>
  <c r="N95" i="4"/>
  <c r="J95" i="4"/>
  <c r="J113" i="4"/>
  <c r="N113" i="4"/>
  <c r="J241" i="4"/>
  <c r="N241" i="4"/>
  <c r="J238" i="4"/>
  <c r="N238" i="4"/>
  <c r="N239" i="4"/>
  <c r="J239" i="4"/>
  <c r="N315" i="4"/>
  <c r="J315" i="4"/>
  <c r="N295" i="4"/>
  <c r="J295" i="4"/>
  <c r="N170" i="4"/>
  <c r="J170" i="4"/>
  <c r="J122" i="4"/>
  <c r="N122" i="4"/>
  <c r="J20" i="4"/>
  <c r="N20" i="4"/>
  <c r="N96" i="4"/>
  <c r="J96" i="4"/>
  <c r="N193" i="4"/>
  <c r="J193" i="4"/>
  <c r="N57" i="4"/>
  <c r="J57" i="4"/>
  <c r="J325" i="4"/>
  <c r="N325" i="4"/>
  <c r="N83" i="4"/>
  <c r="J83" i="4"/>
  <c r="N120" i="4"/>
  <c r="J120" i="4"/>
  <c r="J188" i="4"/>
  <c r="N188" i="4"/>
  <c r="N213" i="4"/>
  <c r="J213" i="4"/>
  <c r="N312" i="4"/>
  <c r="J312" i="4"/>
  <c r="J306" i="4"/>
  <c r="N306" i="4"/>
  <c r="J253" i="4"/>
  <c r="N253" i="4"/>
  <c r="J162" i="4"/>
  <c r="N162" i="4"/>
  <c r="N9" i="4"/>
  <c r="J9" i="4"/>
  <c r="N176" i="4"/>
  <c r="J176" i="4"/>
  <c r="O2" i="4" l="1"/>
  <c r="O3" i="4" s="1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H11" i="5"/>
  <c r="J11" i="5" s="1"/>
  <c r="H23" i="5"/>
  <c r="J23" i="5" s="1"/>
  <c r="H43" i="5"/>
  <c r="J43" i="5" s="1"/>
  <c r="H55" i="5"/>
  <c r="J55" i="5" s="1"/>
  <c r="H75" i="5"/>
  <c r="J75" i="5" s="1"/>
  <c r="H87" i="5"/>
  <c r="J87" i="5" s="1"/>
  <c r="H107" i="5"/>
  <c r="J107" i="5" s="1"/>
  <c r="H5" i="5"/>
  <c r="J5" i="5" s="1"/>
  <c r="H25" i="5"/>
  <c r="J25" i="5" s="1"/>
  <c r="H37" i="5"/>
  <c r="J37" i="5" s="1"/>
  <c r="H57" i="5"/>
  <c r="J57" i="5" s="1"/>
  <c r="H69" i="5"/>
  <c r="J69" i="5" s="1"/>
  <c r="H77" i="5"/>
  <c r="J77" i="5" s="1"/>
  <c r="H85" i="5"/>
  <c r="J85" i="5" s="1"/>
  <c r="H93" i="5"/>
  <c r="J93" i="5" s="1"/>
  <c r="H101" i="5"/>
  <c r="J101" i="5" s="1"/>
  <c r="H109" i="5"/>
  <c r="J109" i="5" s="1"/>
  <c r="H117" i="5"/>
  <c r="J117" i="5" s="1"/>
  <c r="H125" i="5"/>
  <c r="J125" i="5" s="1"/>
  <c r="H133" i="5"/>
  <c r="J133" i="5" s="1"/>
  <c r="H141" i="5"/>
  <c r="J141" i="5" s="1"/>
  <c r="H149" i="5"/>
  <c r="J149" i="5" s="1"/>
  <c r="H157" i="5"/>
  <c r="J157" i="5" s="1"/>
  <c r="H165" i="5"/>
  <c r="J165" i="5" s="1"/>
  <c r="H173" i="5"/>
  <c r="J173" i="5" s="1"/>
  <c r="H181" i="5"/>
  <c r="J181" i="5" s="1"/>
  <c r="H189" i="5"/>
  <c r="J189" i="5" s="1"/>
  <c r="H197" i="5"/>
  <c r="J197" i="5" s="1"/>
  <c r="H205" i="5"/>
  <c r="J205" i="5" s="1"/>
  <c r="H213" i="5"/>
  <c r="J213" i="5" s="1"/>
  <c r="H221" i="5"/>
  <c r="J221" i="5" s="1"/>
  <c r="H229" i="5"/>
  <c r="J229" i="5" s="1"/>
  <c r="H237" i="5"/>
  <c r="J237" i="5" s="1"/>
  <c r="H245" i="5"/>
  <c r="J245" i="5" s="1"/>
  <c r="H253" i="5"/>
  <c r="J253" i="5" s="1"/>
  <c r="H261" i="5"/>
  <c r="J261" i="5" s="1"/>
  <c r="H269" i="5"/>
  <c r="J269" i="5" s="1"/>
  <c r="H277" i="5"/>
  <c r="J277" i="5" s="1"/>
  <c r="H285" i="5"/>
  <c r="J285" i="5" s="1"/>
  <c r="H293" i="5"/>
  <c r="J293" i="5" s="1"/>
  <c r="H301" i="5"/>
  <c r="J301" i="5" s="1"/>
  <c r="H309" i="5"/>
  <c r="J309" i="5" s="1"/>
  <c r="H6" i="5"/>
  <c r="J6" i="5" s="1"/>
  <c r="H22" i="5"/>
  <c r="J22" i="5" s="1"/>
  <c r="H38" i="5"/>
  <c r="J38" i="5" s="1"/>
  <c r="H54" i="5"/>
  <c r="J54" i="5" s="1"/>
  <c r="H70" i="5"/>
  <c r="J70" i="5" s="1"/>
  <c r="H86" i="5"/>
  <c r="J86" i="5" s="1"/>
  <c r="H102" i="5"/>
  <c r="J102" i="5" s="1"/>
  <c r="H118" i="5"/>
  <c r="J118" i="5" s="1"/>
  <c r="H128" i="5"/>
  <c r="J128" i="5" s="1"/>
  <c r="H139" i="5"/>
  <c r="J139" i="5" s="1"/>
  <c r="H150" i="5"/>
  <c r="J150" i="5" s="1"/>
  <c r="H160" i="5"/>
  <c r="J160" i="5" s="1"/>
  <c r="H171" i="5"/>
  <c r="J171" i="5" s="1"/>
  <c r="H182" i="5"/>
  <c r="J182" i="5" s="1"/>
  <c r="H192" i="5"/>
  <c r="J192" i="5" s="1"/>
  <c r="H203" i="5"/>
  <c r="J203" i="5" s="1"/>
  <c r="H214" i="5"/>
  <c r="J214" i="5" s="1"/>
  <c r="H224" i="5"/>
  <c r="J224" i="5" s="1"/>
  <c r="H235" i="5"/>
  <c r="J235" i="5" s="1"/>
  <c r="H246" i="5"/>
  <c r="J246" i="5" s="1"/>
  <c r="H256" i="5"/>
  <c r="J256" i="5" s="1"/>
  <c r="H267" i="5"/>
  <c r="J267" i="5" s="1"/>
  <c r="H278" i="5"/>
  <c r="J278" i="5" s="1"/>
  <c r="H288" i="5"/>
  <c r="J288" i="5" s="1"/>
  <c r="H299" i="5"/>
  <c r="J299" i="5" s="1"/>
  <c r="H310" i="5"/>
  <c r="J310" i="5" s="1"/>
  <c r="H319" i="5"/>
  <c r="J319" i="5" s="1"/>
  <c r="H12" i="5"/>
  <c r="J12" i="5" s="1"/>
  <c r="H34" i="5"/>
  <c r="J34" i="5" s="1"/>
  <c r="H56" i="5"/>
  <c r="J56" i="5" s="1"/>
  <c r="H76" i="5"/>
  <c r="J76" i="5" s="1"/>
  <c r="H98" i="5"/>
  <c r="J98" i="5" s="1"/>
  <c r="H119" i="5"/>
  <c r="J119" i="5" s="1"/>
  <c r="H132" i="5"/>
  <c r="J132" i="5" s="1"/>
  <c r="H147" i="5"/>
  <c r="J147" i="5" s="1"/>
  <c r="H162" i="5"/>
  <c r="J162" i="5" s="1"/>
  <c r="H175" i="5"/>
  <c r="J175" i="5" s="1"/>
  <c r="H190" i="5"/>
  <c r="J190" i="5" s="1"/>
  <c r="H204" i="5"/>
  <c r="J204" i="5" s="1"/>
  <c r="H218" i="5"/>
  <c r="J218" i="5" s="1"/>
  <c r="H232" i="5"/>
  <c r="J232" i="5" s="1"/>
  <c r="H247" i="5"/>
  <c r="J247" i="5" s="1"/>
  <c r="H260" i="5"/>
  <c r="J260" i="5" s="1"/>
  <c r="H275" i="5"/>
  <c r="J275" i="5" s="1"/>
  <c r="H290" i="5"/>
  <c r="J290" i="5" s="1"/>
  <c r="H303" i="5"/>
  <c r="J303" i="5" s="1"/>
  <c r="H317" i="5"/>
  <c r="J317" i="5" s="1"/>
  <c r="H236" i="5"/>
  <c r="J236" i="5" s="1"/>
  <c r="H16" i="5"/>
  <c r="J16" i="5" s="1"/>
  <c r="H36" i="5"/>
  <c r="J36" i="5" s="1"/>
  <c r="H58" i="5"/>
  <c r="J58" i="5" s="1"/>
  <c r="H80" i="5"/>
  <c r="J80" i="5" s="1"/>
  <c r="H100" i="5"/>
  <c r="J100" i="5" s="1"/>
  <c r="H120" i="5"/>
  <c r="J120" i="5" s="1"/>
  <c r="H135" i="5"/>
  <c r="J135" i="5" s="1"/>
  <c r="H148" i="5"/>
  <c r="J148" i="5" s="1"/>
  <c r="H163" i="5"/>
  <c r="J163" i="5" s="1"/>
  <c r="H178" i="5"/>
  <c r="J178" i="5" s="1"/>
  <c r="H191" i="5"/>
  <c r="J191" i="5" s="1"/>
  <c r="H206" i="5"/>
  <c r="J206" i="5" s="1"/>
  <c r="H220" i="5"/>
  <c r="J220" i="5" s="1"/>
  <c r="H234" i="5"/>
  <c r="J234" i="5" s="1"/>
  <c r="H248" i="5"/>
  <c r="J248" i="5" s="1"/>
  <c r="H263" i="5"/>
  <c r="J263" i="5" s="1"/>
  <c r="H276" i="5"/>
  <c r="J276" i="5" s="1"/>
  <c r="H291" i="5"/>
  <c r="J291" i="5" s="1"/>
  <c r="H306" i="5"/>
  <c r="J306" i="5" s="1"/>
  <c r="H318" i="5"/>
  <c r="J318" i="5" s="1"/>
  <c r="H8" i="5"/>
  <c r="J8" i="5" s="1"/>
  <c r="H28" i="5"/>
  <c r="J28" i="5" s="1"/>
  <c r="H50" i="5"/>
  <c r="J50" i="5" s="1"/>
  <c r="H72" i="5"/>
  <c r="J72" i="5" s="1"/>
  <c r="H92" i="5"/>
  <c r="J92" i="5" s="1"/>
  <c r="H114" i="5"/>
  <c r="J114" i="5" s="1"/>
  <c r="H130" i="5"/>
  <c r="J130" i="5" s="1"/>
  <c r="H143" i="5"/>
  <c r="J143" i="5" s="1"/>
  <c r="H158" i="5"/>
  <c r="J158" i="5" s="1"/>
  <c r="H172" i="5"/>
  <c r="J172" i="5" s="1"/>
  <c r="H186" i="5"/>
  <c r="J186" i="5" s="1"/>
  <c r="H200" i="5"/>
  <c r="J200" i="5" s="1"/>
  <c r="H215" i="5"/>
  <c r="J215" i="5" s="1"/>
  <c r="H228" i="5"/>
  <c r="J228" i="5" s="1"/>
  <c r="H250" i="5"/>
  <c r="J250" i="5" s="1"/>
  <c r="H264" i="5"/>
  <c r="J264" i="5" s="1"/>
  <c r="H279" i="5"/>
  <c r="J279" i="5" s="1"/>
  <c r="H292" i="5"/>
  <c r="J292" i="5" s="1"/>
  <c r="H307" i="5"/>
  <c r="J307" i="5" s="1"/>
  <c r="H320" i="5"/>
  <c r="J320" i="5" s="1"/>
  <c r="H216" i="5"/>
  <c r="J216" i="5" s="1"/>
  <c r="H20" i="5"/>
  <c r="J20" i="5" s="1"/>
  <c r="H42" i="5"/>
  <c r="J42" i="5" s="1"/>
  <c r="H64" i="5"/>
  <c r="J64" i="5" s="1"/>
  <c r="H84" i="5"/>
  <c r="J84" i="5" s="1"/>
  <c r="H106" i="5"/>
  <c r="J106" i="5" s="1"/>
  <c r="H124" i="5"/>
  <c r="J124" i="5" s="1"/>
  <c r="H138" i="5"/>
  <c r="J138" i="5" s="1"/>
  <c r="H152" i="5"/>
  <c r="J152" i="5" s="1"/>
  <c r="H167" i="5"/>
  <c r="J167" i="5" s="1"/>
  <c r="H180" i="5"/>
  <c r="J180" i="5" s="1"/>
  <c r="H195" i="5"/>
  <c r="J195" i="5" s="1"/>
  <c r="H210" i="5"/>
  <c r="J210" i="5" s="1"/>
  <c r="H231" i="5"/>
  <c r="J231" i="5" s="1"/>
  <c r="H244" i="5"/>
  <c r="J244" i="5" s="1"/>
  <c r="H259" i="5"/>
  <c r="J259" i="5" s="1"/>
  <c r="H274" i="5"/>
  <c r="J274" i="5" s="1"/>
  <c r="H287" i="5"/>
  <c r="J287" i="5" s="1"/>
  <c r="H302" i="5"/>
  <c r="J302" i="5" s="1"/>
  <c r="H316" i="5"/>
  <c r="J316" i="5" s="1"/>
  <c r="H326" i="5"/>
  <c r="J326" i="5" s="1"/>
  <c r="H2" i="5"/>
  <c r="J2" i="5" s="1"/>
  <c r="H15" i="5"/>
  <c r="J15" i="5" s="1"/>
  <c r="H35" i="5"/>
  <c r="J35" i="5" s="1"/>
  <c r="H47" i="5"/>
  <c r="J47" i="5" s="1"/>
  <c r="H67" i="5"/>
  <c r="J67" i="5" s="1"/>
  <c r="H79" i="5"/>
  <c r="J79" i="5" s="1"/>
  <c r="H99" i="5"/>
  <c r="J99" i="5" s="1"/>
  <c r="H111" i="5"/>
  <c r="J111" i="5" s="1"/>
  <c r="H17" i="5"/>
  <c r="J17" i="5" s="1"/>
  <c r="H29" i="5"/>
  <c r="J29" i="5" s="1"/>
  <c r="H49" i="5"/>
  <c r="J49" i="5" s="1"/>
  <c r="H61" i="5"/>
  <c r="J61" i="5" s="1"/>
  <c r="H31" i="5"/>
  <c r="J31" i="5" s="1"/>
  <c r="H51" i="5"/>
  <c r="J51" i="5" s="1"/>
  <c r="H95" i="5"/>
  <c r="J95" i="5" s="1"/>
  <c r="H115" i="5"/>
  <c r="J115" i="5" s="1"/>
  <c r="H45" i="5"/>
  <c r="J45" i="5" s="1"/>
  <c r="H65" i="5"/>
  <c r="J65" i="5" s="1"/>
  <c r="H170" i="5"/>
  <c r="J170" i="5" s="1"/>
  <c r="H227" i="5"/>
  <c r="J227" i="5" s="1"/>
  <c r="H284" i="5"/>
  <c r="J284" i="5" s="1"/>
  <c r="H18" i="5"/>
  <c r="J18" i="5" s="1"/>
  <c r="H104" i="5"/>
  <c r="J104" i="5" s="1"/>
  <c r="H164" i="5"/>
  <c r="J164" i="5" s="1"/>
  <c r="H222" i="5"/>
  <c r="J222" i="5" s="1"/>
  <c r="H286" i="5"/>
  <c r="J286" i="5" s="1"/>
  <c r="H10" i="5"/>
  <c r="J10" i="5" s="1"/>
  <c r="H96" i="5"/>
  <c r="J96" i="5" s="1"/>
  <c r="H159" i="5"/>
  <c r="J159" i="5" s="1"/>
  <c r="H223" i="5"/>
  <c r="J223" i="5" s="1"/>
  <c r="H280" i="5"/>
  <c r="J280" i="5" s="1"/>
  <c r="H3" i="5"/>
  <c r="J3" i="5" s="1"/>
  <c r="H39" i="5"/>
  <c r="J39" i="5" s="1"/>
  <c r="H59" i="5"/>
  <c r="J59" i="5" s="1"/>
  <c r="H103" i="5"/>
  <c r="J103" i="5" s="1"/>
  <c r="H9" i="5"/>
  <c r="J9" i="5" s="1"/>
  <c r="H53" i="5"/>
  <c r="J53" i="5" s="1"/>
  <c r="H73" i="5"/>
  <c r="J73" i="5" s="1"/>
  <c r="H89" i="5"/>
  <c r="J89" i="5" s="1"/>
  <c r="H105" i="5"/>
  <c r="J105" i="5" s="1"/>
  <c r="H121" i="5"/>
  <c r="J121" i="5" s="1"/>
  <c r="H137" i="5"/>
  <c r="J137" i="5" s="1"/>
  <c r="H153" i="5"/>
  <c r="J153" i="5" s="1"/>
  <c r="H169" i="5"/>
  <c r="J169" i="5" s="1"/>
  <c r="H185" i="5"/>
  <c r="J185" i="5" s="1"/>
  <c r="H201" i="5"/>
  <c r="J201" i="5" s="1"/>
  <c r="H217" i="5"/>
  <c r="J217" i="5" s="1"/>
  <c r="H233" i="5"/>
  <c r="J233" i="5" s="1"/>
  <c r="H249" i="5"/>
  <c r="J249" i="5" s="1"/>
  <c r="H265" i="5"/>
  <c r="J265" i="5" s="1"/>
  <c r="H281" i="5"/>
  <c r="J281" i="5" s="1"/>
  <c r="H297" i="5"/>
  <c r="J297" i="5" s="1"/>
  <c r="H313" i="5"/>
  <c r="J313" i="5" s="1"/>
  <c r="H30" i="5"/>
  <c r="J30" i="5" s="1"/>
  <c r="H62" i="5"/>
  <c r="J62" i="5" s="1"/>
  <c r="H94" i="5"/>
  <c r="J94" i="5" s="1"/>
  <c r="H123" i="5"/>
  <c r="J123" i="5" s="1"/>
  <c r="H144" i="5"/>
  <c r="J144" i="5" s="1"/>
  <c r="H166" i="5"/>
  <c r="J166" i="5" s="1"/>
  <c r="H187" i="5"/>
  <c r="J187" i="5" s="1"/>
  <c r="H208" i="5"/>
  <c r="J208" i="5" s="1"/>
  <c r="H230" i="5"/>
  <c r="J230" i="5" s="1"/>
  <c r="H251" i="5"/>
  <c r="J251" i="5" s="1"/>
  <c r="H272" i="5"/>
  <c r="J272" i="5" s="1"/>
  <c r="H294" i="5"/>
  <c r="J294" i="5" s="1"/>
  <c r="H315" i="5"/>
  <c r="J315" i="5" s="1"/>
  <c r="H24" i="5"/>
  <c r="J24" i="5" s="1"/>
  <c r="H66" i="5"/>
  <c r="J66" i="5" s="1"/>
  <c r="H108" i="5"/>
  <c r="J108" i="5" s="1"/>
  <c r="H140" i="5"/>
  <c r="J140" i="5" s="1"/>
  <c r="H168" i="5"/>
  <c r="J168" i="5" s="1"/>
  <c r="H196" i="5"/>
  <c r="J196" i="5" s="1"/>
  <c r="H226" i="5"/>
  <c r="J226" i="5" s="1"/>
  <c r="H254" i="5"/>
  <c r="J254" i="5" s="1"/>
  <c r="H282" i="5"/>
  <c r="J282" i="5" s="1"/>
  <c r="H311" i="5"/>
  <c r="J311" i="5" s="1"/>
  <c r="H4" i="5"/>
  <c r="J4" i="5" s="1"/>
  <c r="H48" i="5"/>
  <c r="J48" i="5" s="1"/>
  <c r="H90" i="5"/>
  <c r="J90" i="5" s="1"/>
  <c r="H127" i="5"/>
  <c r="J127" i="5" s="1"/>
  <c r="H156" i="5"/>
  <c r="J156" i="5" s="1"/>
  <c r="H212" i="5"/>
  <c r="J212" i="5" s="1"/>
  <c r="H270" i="5"/>
  <c r="J270" i="5" s="1"/>
  <c r="H324" i="5"/>
  <c r="J324" i="5" s="1"/>
  <c r="H82" i="5"/>
  <c r="J82" i="5" s="1"/>
  <c r="H151" i="5"/>
  <c r="J151" i="5" s="1"/>
  <c r="H207" i="5"/>
  <c r="J207" i="5" s="1"/>
  <c r="H271" i="5"/>
  <c r="J271" i="5" s="1"/>
  <c r="H325" i="5"/>
  <c r="J325" i="5" s="1"/>
  <c r="H74" i="5"/>
  <c r="J74" i="5" s="1"/>
  <c r="H146" i="5"/>
  <c r="J146" i="5" s="1"/>
  <c r="H202" i="5"/>
  <c r="J202" i="5" s="1"/>
  <c r="H266" i="5"/>
  <c r="J266" i="5" s="1"/>
  <c r="H321" i="5"/>
  <c r="J321" i="5" s="1"/>
  <c r="H27" i="5"/>
  <c r="J27" i="5" s="1"/>
  <c r="H71" i="5"/>
  <c r="J71" i="5" s="1"/>
  <c r="H41" i="5"/>
  <c r="J41" i="5" s="1"/>
  <c r="H81" i="5"/>
  <c r="J81" i="5" s="1"/>
  <c r="H113" i="5"/>
  <c r="J113" i="5" s="1"/>
  <c r="H145" i="5"/>
  <c r="J145" i="5" s="1"/>
  <c r="H177" i="5"/>
  <c r="J177" i="5" s="1"/>
  <c r="H209" i="5"/>
  <c r="J209" i="5" s="1"/>
  <c r="H241" i="5"/>
  <c r="J241" i="5" s="1"/>
  <c r="H273" i="5"/>
  <c r="J273" i="5" s="1"/>
  <c r="H305" i="5"/>
  <c r="J305" i="5" s="1"/>
  <c r="H46" i="5"/>
  <c r="J46" i="5" s="1"/>
  <c r="H110" i="5"/>
  <c r="J110" i="5" s="1"/>
  <c r="H155" i="5"/>
  <c r="J155" i="5" s="1"/>
  <c r="H198" i="5"/>
  <c r="J198" i="5" s="1"/>
  <c r="H240" i="5"/>
  <c r="J240" i="5" s="1"/>
  <c r="H283" i="5"/>
  <c r="J283" i="5" s="1"/>
  <c r="H323" i="5"/>
  <c r="J323" i="5" s="1"/>
  <c r="H88" i="5"/>
  <c r="J88" i="5" s="1"/>
  <c r="H154" i="5"/>
  <c r="J154" i="5" s="1"/>
  <c r="H211" i="5"/>
  <c r="J211" i="5" s="1"/>
  <c r="H268" i="5"/>
  <c r="J268" i="5" s="1"/>
  <c r="H322" i="5"/>
  <c r="J322" i="5" s="1"/>
  <c r="H68" i="5"/>
  <c r="J68" i="5" s="1"/>
  <c r="H142" i="5"/>
  <c r="J142" i="5" s="1"/>
  <c r="H184" i="5"/>
  <c r="J184" i="5" s="1"/>
  <c r="H298" i="5"/>
  <c r="J298" i="5" s="1"/>
  <c r="H122" i="5"/>
  <c r="J122" i="5" s="1"/>
  <c r="H243" i="5"/>
  <c r="J243" i="5" s="1"/>
  <c r="H32" i="5"/>
  <c r="J32" i="5" s="1"/>
  <c r="H174" i="5"/>
  <c r="J174" i="5" s="1"/>
  <c r="H295" i="5"/>
  <c r="J295" i="5" s="1"/>
  <c r="H83" i="5"/>
  <c r="J83" i="5" s="1"/>
  <c r="H13" i="5"/>
  <c r="J13" i="5" s="1"/>
  <c r="H199" i="5"/>
  <c r="J199" i="5" s="1"/>
  <c r="H312" i="5"/>
  <c r="J312" i="5" s="1"/>
  <c r="H136" i="5"/>
  <c r="J136" i="5" s="1"/>
  <c r="H258" i="5"/>
  <c r="J258" i="5" s="1"/>
  <c r="H52" i="5"/>
  <c r="J52" i="5" s="1"/>
  <c r="H188" i="5"/>
  <c r="J188" i="5" s="1"/>
  <c r="H308" i="5"/>
  <c r="J308" i="5" s="1"/>
  <c r="H7" i="5"/>
  <c r="J7" i="5" s="1"/>
  <c r="H91" i="5"/>
  <c r="J91" i="5" s="1"/>
  <c r="H21" i="5"/>
  <c r="J21" i="5" s="1"/>
  <c r="H97" i="5"/>
  <c r="J97" i="5" s="1"/>
  <c r="H129" i="5"/>
  <c r="J129" i="5" s="1"/>
  <c r="H161" i="5"/>
  <c r="J161" i="5" s="1"/>
  <c r="H193" i="5"/>
  <c r="J193" i="5" s="1"/>
  <c r="H225" i="5"/>
  <c r="J225" i="5" s="1"/>
  <c r="H257" i="5"/>
  <c r="J257" i="5" s="1"/>
  <c r="H289" i="5"/>
  <c r="J289" i="5" s="1"/>
  <c r="H14" i="5"/>
  <c r="J14" i="5" s="1"/>
  <c r="H78" i="5"/>
  <c r="J78" i="5" s="1"/>
  <c r="H134" i="5"/>
  <c r="J134" i="5" s="1"/>
  <c r="H176" i="5"/>
  <c r="J176" i="5" s="1"/>
  <c r="H219" i="5"/>
  <c r="J219" i="5" s="1"/>
  <c r="H262" i="5"/>
  <c r="J262" i="5" s="1"/>
  <c r="H304" i="5"/>
  <c r="J304" i="5" s="1"/>
  <c r="H44" i="5"/>
  <c r="J44" i="5" s="1"/>
  <c r="H126" i="5"/>
  <c r="J126" i="5" s="1"/>
  <c r="H183" i="5"/>
  <c r="J183" i="5" s="1"/>
  <c r="H239" i="5"/>
  <c r="J239" i="5" s="1"/>
  <c r="H296" i="5"/>
  <c r="J296" i="5" s="1"/>
  <c r="H26" i="5"/>
  <c r="J26" i="5" s="1"/>
  <c r="H112" i="5"/>
  <c r="J112" i="5" s="1"/>
  <c r="H242" i="5"/>
  <c r="J242" i="5" s="1"/>
  <c r="H40" i="5"/>
  <c r="J40" i="5" s="1"/>
  <c r="H179" i="5"/>
  <c r="J179" i="5" s="1"/>
  <c r="H300" i="5"/>
  <c r="J300" i="5" s="1"/>
  <c r="H116" i="5"/>
  <c r="J116" i="5" s="1"/>
  <c r="H238" i="5"/>
  <c r="J238" i="5" s="1"/>
  <c r="H33" i="5"/>
  <c r="J33" i="5" s="1"/>
  <c r="H60" i="5"/>
  <c r="J60" i="5" s="1"/>
  <c r="H252" i="5"/>
  <c r="J252" i="5" s="1"/>
  <c r="H19" i="5"/>
  <c r="J19" i="5" s="1"/>
  <c r="H255" i="5"/>
  <c r="J255" i="5" s="1"/>
  <c r="H131" i="5"/>
  <c r="J131" i="5" s="1"/>
  <c r="H63" i="5"/>
  <c r="J63" i="5" s="1"/>
  <c r="H314" i="5"/>
  <c r="J314" i="5" s="1"/>
  <c r="H194" i="5"/>
  <c r="J194" i="5" s="1"/>
  <c r="K22" i="5" l="1"/>
  <c r="K10" i="5"/>
  <c r="K275" i="5"/>
  <c r="K269" i="5"/>
  <c r="K254" i="5"/>
  <c r="K212" i="5"/>
  <c r="K235" i="5"/>
  <c r="K233" i="5"/>
  <c r="K194" i="5"/>
  <c r="K176" i="5"/>
  <c r="K112" i="5"/>
  <c r="K78" i="5"/>
  <c r="K46" i="5"/>
  <c r="K193" i="5"/>
  <c r="K125" i="5"/>
  <c r="K35" i="5"/>
  <c r="K187" i="5"/>
  <c r="K123" i="5"/>
  <c r="K83" i="5"/>
  <c r="K19" i="5"/>
  <c r="K154" i="5"/>
  <c r="K161" i="5"/>
  <c r="K303" i="5"/>
  <c r="K296" i="5"/>
  <c r="K289" i="5"/>
  <c r="K226" i="5"/>
  <c r="K260" i="5"/>
  <c r="K258" i="5"/>
  <c r="K221" i="5"/>
  <c r="K240" i="5"/>
  <c r="K143" i="5"/>
  <c r="K92" i="5"/>
  <c r="K60" i="5"/>
  <c r="K28" i="5"/>
  <c r="K150" i="5"/>
  <c r="K63" i="5"/>
  <c r="K294" i="5"/>
  <c r="K148" i="5"/>
  <c r="K97" i="5"/>
  <c r="K49" i="5"/>
  <c r="K8" i="5"/>
  <c r="K137" i="5"/>
  <c r="K315" i="5"/>
  <c r="K308" i="5"/>
  <c r="K301" i="5"/>
  <c r="K232" i="5"/>
  <c r="K298" i="5"/>
  <c r="K270" i="5"/>
  <c r="K255" i="5"/>
  <c r="K223" i="5"/>
  <c r="K152" i="5"/>
  <c r="K98" i="5"/>
  <c r="K66" i="5"/>
  <c r="K34" i="5"/>
  <c r="K165" i="5"/>
  <c r="K75" i="5"/>
  <c r="K11" i="5"/>
  <c r="K163" i="5"/>
  <c r="K103" i="5"/>
  <c r="K61" i="5"/>
  <c r="K197" i="5"/>
  <c r="K189" i="5"/>
  <c r="K326" i="5"/>
  <c r="K320" i="5"/>
  <c r="K313" i="5"/>
  <c r="K245" i="5"/>
  <c r="K322" i="5"/>
  <c r="K282" i="5"/>
  <c r="K227" i="5"/>
  <c r="K188" i="5"/>
  <c r="K167" i="5"/>
  <c r="K104" i="5"/>
  <c r="K72" i="5"/>
  <c r="K40" i="5"/>
  <c r="K174" i="5"/>
  <c r="K110" i="5"/>
  <c r="K23" i="5"/>
  <c r="K172" i="5"/>
  <c r="K108" i="5"/>
  <c r="K73" i="5"/>
  <c r="K9" i="5"/>
  <c r="K178" i="5"/>
  <c r="K121" i="5"/>
  <c r="K323" i="5"/>
  <c r="K316" i="5"/>
  <c r="K309" i="5"/>
  <c r="K238" i="5"/>
  <c r="K314" i="5"/>
  <c r="K278" i="5"/>
  <c r="K225" i="5"/>
  <c r="K318" i="5"/>
  <c r="K160" i="5"/>
  <c r="K102" i="5"/>
  <c r="K70" i="5"/>
  <c r="K38" i="5"/>
  <c r="K173" i="5"/>
  <c r="K109" i="5"/>
  <c r="K21" i="5"/>
  <c r="K171" i="5"/>
  <c r="K107" i="5"/>
  <c r="K69" i="5"/>
  <c r="K3" i="5"/>
  <c r="K186" i="5"/>
  <c r="K20" i="5"/>
  <c r="K287" i="5"/>
  <c r="K280" i="5"/>
  <c r="K273" i="5"/>
  <c r="K218" i="5"/>
  <c r="K244" i="5"/>
  <c r="K242" i="5"/>
  <c r="K200" i="5"/>
  <c r="K191" i="5"/>
  <c r="K127" i="5"/>
  <c r="K84" i="5"/>
  <c r="K52" i="5"/>
  <c r="K264" i="5"/>
  <c r="K134" i="5"/>
  <c r="K47" i="5"/>
  <c r="K209" i="5"/>
  <c r="K132" i="5"/>
  <c r="K89" i="5"/>
  <c r="K33" i="5"/>
  <c r="K130" i="5"/>
  <c r="K169" i="5"/>
  <c r="K299" i="5"/>
  <c r="K292" i="5"/>
  <c r="K285" i="5"/>
  <c r="K224" i="5"/>
  <c r="K259" i="5"/>
  <c r="K257" i="5"/>
  <c r="K213" i="5"/>
  <c r="K219" i="5"/>
  <c r="K136" i="5"/>
  <c r="K90" i="5"/>
  <c r="K58" i="5"/>
  <c r="K26" i="5"/>
  <c r="K149" i="5"/>
  <c r="K59" i="5"/>
  <c r="K205" i="5"/>
  <c r="K147" i="5"/>
  <c r="K95" i="5"/>
  <c r="K45" i="5"/>
  <c r="K16" i="5"/>
  <c r="K145" i="5"/>
  <c r="K311" i="5"/>
  <c r="K304" i="5"/>
  <c r="K297" i="5"/>
  <c r="K230" i="5"/>
  <c r="K268" i="5"/>
  <c r="K266" i="5"/>
  <c r="K247" i="5"/>
  <c r="K215" i="5"/>
  <c r="K151" i="5"/>
  <c r="K96" i="5"/>
  <c r="K64" i="5"/>
  <c r="K32" i="5"/>
  <c r="K158" i="5"/>
  <c r="K71" i="5"/>
  <c r="K7" i="5"/>
  <c r="K156" i="5"/>
  <c r="K101" i="5"/>
  <c r="K57" i="5"/>
  <c r="K4" i="5"/>
  <c r="K291" i="5"/>
  <c r="K277" i="5"/>
  <c r="K251" i="5"/>
  <c r="K202" i="5"/>
  <c r="K128" i="5"/>
  <c r="K54" i="5"/>
  <c r="K141" i="5"/>
  <c r="K217" i="5"/>
  <c r="K91" i="5"/>
  <c r="K122" i="5"/>
  <c r="K319" i="5"/>
  <c r="K305" i="5"/>
  <c r="K306" i="5"/>
  <c r="K263" i="5"/>
  <c r="K159" i="5"/>
  <c r="K68" i="5"/>
  <c r="K166" i="5"/>
  <c r="K17" i="5"/>
  <c r="K105" i="5"/>
  <c r="K248" i="5"/>
  <c r="K325" i="5"/>
  <c r="K317" i="5"/>
  <c r="K208" i="5"/>
  <c r="K229" i="5"/>
  <c r="K168" i="5"/>
  <c r="K74" i="5"/>
  <c r="K181" i="5"/>
  <c r="K27" i="5"/>
  <c r="K115" i="5"/>
  <c r="K13" i="5"/>
  <c r="K2" i="5"/>
  <c r="K272" i="5"/>
  <c r="K214" i="5"/>
  <c r="K234" i="5"/>
  <c r="K183" i="5"/>
  <c r="K80" i="5"/>
  <c r="K201" i="5"/>
  <c r="K39" i="5"/>
  <c r="K124" i="5"/>
  <c r="K25" i="5"/>
  <c r="K153" i="5"/>
  <c r="K300" i="5"/>
  <c r="K228" i="5"/>
  <c r="K265" i="5"/>
  <c r="K207" i="5"/>
  <c r="K94" i="5"/>
  <c r="K30" i="5"/>
  <c r="K67" i="5"/>
  <c r="K155" i="5"/>
  <c r="K53" i="5"/>
  <c r="K14" i="5"/>
  <c r="K271" i="5"/>
  <c r="K253" i="5"/>
  <c r="K290" i="5"/>
  <c r="K192" i="5"/>
  <c r="K111" i="5"/>
  <c r="K44" i="5"/>
  <c r="K118" i="5"/>
  <c r="K180" i="5"/>
  <c r="K81" i="5"/>
  <c r="K162" i="5"/>
  <c r="K283" i="5"/>
  <c r="K262" i="5"/>
  <c r="K243" i="5"/>
  <c r="K198" i="5"/>
  <c r="K120" i="5"/>
  <c r="K50" i="5"/>
  <c r="K133" i="5"/>
  <c r="K203" i="5"/>
  <c r="K87" i="5"/>
  <c r="K138" i="5"/>
  <c r="K295" i="5"/>
  <c r="K281" i="5"/>
  <c r="K252" i="5"/>
  <c r="K204" i="5"/>
  <c r="K135" i="5"/>
  <c r="K56" i="5"/>
  <c r="K142" i="5"/>
  <c r="K256" i="5"/>
  <c r="K93" i="5"/>
  <c r="K114" i="5"/>
  <c r="K185" i="5"/>
  <c r="K284" i="5"/>
  <c r="K220" i="5"/>
  <c r="K249" i="5"/>
  <c r="K199" i="5"/>
  <c r="K86" i="5"/>
  <c r="K310" i="5"/>
  <c r="K51" i="5"/>
  <c r="K139" i="5"/>
  <c r="K37" i="5"/>
  <c r="K129" i="5"/>
  <c r="K312" i="5"/>
  <c r="K237" i="5"/>
  <c r="K274" i="5"/>
  <c r="K302" i="5"/>
  <c r="K100" i="5"/>
  <c r="K36" i="5"/>
  <c r="K77" i="5"/>
  <c r="K164" i="5"/>
  <c r="K65" i="5"/>
  <c r="K6" i="5"/>
  <c r="K324" i="5"/>
  <c r="K246" i="5"/>
  <c r="K286" i="5"/>
  <c r="K190" i="5"/>
  <c r="K106" i="5"/>
  <c r="K42" i="5"/>
  <c r="K239" i="5"/>
  <c r="K5" i="5"/>
  <c r="K321" i="5"/>
  <c r="K76" i="5"/>
  <c r="K15" i="5"/>
  <c r="K241" i="5"/>
  <c r="K117" i="5"/>
  <c r="K79" i="5"/>
  <c r="K279" i="5"/>
  <c r="K236" i="5"/>
  <c r="K119" i="5"/>
  <c r="K126" i="5"/>
  <c r="K85" i="5"/>
  <c r="K206" i="5"/>
  <c r="K211" i="5"/>
  <c r="K140" i="5"/>
  <c r="K307" i="5"/>
  <c r="K144" i="5"/>
  <c r="K99" i="5"/>
  <c r="K210" i="5"/>
  <c r="K182" i="5"/>
  <c r="K113" i="5"/>
  <c r="K184" i="5"/>
  <c r="K43" i="5"/>
  <c r="K29" i="5"/>
  <c r="K288" i="5"/>
  <c r="K250" i="5"/>
  <c r="K88" i="5"/>
  <c r="K55" i="5"/>
  <c r="K41" i="5"/>
  <c r="K293" i="5"/>
  <c r="K62" i="5"/>
  <c r="K12" i="5"/>
  <c r="K231" i="5"/>
  <c r="K31" i="5"/>
  <c r="K276" i="5"/>
  <c r="K82" i="5"/>
  <c r="K179" i="5"/>
  <c r="K170" i="5"/>
  <c r="K261" i="5"/>
  <c r="K196" i="5"/>
  <c r="K48" i="5"/>
  <c r="K195" i="5"/>
  <c r="K146" i="5"/>
  <c r="K267" i="5"/>
  <c r="K157" i="5"/>
  <c r="K18" i="5"/>
  <c r="K175" i="5"/>
  <c r="K116" i="5"/>
  <c r="K216" i="5"/>
  <c r="K131" i="5"/>
  <c r="K177" i="5"/>
  <c r="K222" i="5"/>
  <c r="K24" i="5"/>
  <c r="O24" i="5" l="1"/>
  <c r="M24" i="5"/>
  <c r="N24" i="5"/>
  <c r="L24" i="5"/>
  <c r="N41" i="5"/>
  <c r="O41" i="5"/>
  <c r="M41" i="5"/>
  <c r="L41" i="5"/>
  <c r="L144" i="5"/>
  <c r="N144" i="5"/>
  <c r="O144" i="5"/>
  <c r="M144" i="5"/>
  <c r="O116" i="5"/>
  <c r="L116" i="5"/>
  <c r="N116" i="5"/>
  <c r="M116" i="5"/>
  <c r="L12" i="5"/>
  <c r="N12" i="5"/>
  <c r="O12" i="5"/>
  <c r="M12" i="5"/>
  <c r="O55" i="5"/>
  <c r="M55" i="5"/>
  <c r="N55" i="5"/>
  <c r="L55" i="5"/>
  <c r="L29" i="5"/>
  <c r="N29" i="5"/>
  <c r="O29" i="5"/>
  <c r="M29" i="5"/>
  <c r="O182" i="5"/>
  <c r="M182" i="5"/>
  <c r="N182" i="5"/>
  <c r="L182" i="5"/>
  <c r="M307" i="5"/>
  <c r="N307" i="5"/>
  <c r="L307" i="5"/>
  <c r="O307" i="5"/>
  <c r="N85" i="5"/>
  <c r="M85" i="5"/>
  <c r="O85" i="5"/>
  <c r="L85" i="5"/>
  <c r="L279" i="5"/>
  <c r="O279" i="5"/>
  <c r="N279" i="5"/>
  <c r="M279" i="5"/>
  <c r="O15" i="5"/>
  <c r="L15" i="5"/>
  <c r="N15" i="5"/>
  <c r="M15" i="5"/>
  <c r="M239" i="5"/>
  <c r="N239" i="5"/>
  <c r="L239" i="5"/>
  <c r="O239" i="5"/>
  <c r="M286" i="5"/>
  <c r="L286" i="5"/>
  <c r="N286" i="5"/>
  <c r="O286" i="5"/>
  <c r="N65" i="5"/>
  <c r="O65" i="5"/>
  <c r="M65" i="5"/>
  <c r="L65" i="5"/>
  <c r="O100" i="5"/>
  <c r="L100" i="5"/>
  <c r="M100" i="5"/>
  <c r="N100" i="5"/>
  <c r="N312" i="5"/>
  <c r="M312" i="5"/>
  <c r="L312" i="5"/>
  <c r="O312" i="5"/>
  <c r="M51" i="5"/>
  <c r="O51" i="5"/>
  <c r="L51" i="5"/>
  <c r="N51" i="5"/>
  <c r="L249" i="5"/>
  <c r="M249" i="5"/>
  <c r="N249" i="5"/>
  <c r="O249" i="5"/>
  <c r="M114" i="5"/>
  <c r="O114" i="5"/>
  <c r="N114" i="5"/>
  <c r="L114" i="5"/>
  <c r="O56" i="5"/>
  <c r="M56" i="5"/>
  <c r="L56" i="5"/>
  <c r="N56" i="5"/>
  <c r="L281" i="5"/>
  <c r="N281" i="5"/>
  <c r="O281" i="5"/>
  <c r="M281" i="5"/>
  <c r="N203" i="5"/>
  <c r="L203" i="5"/>
  <c r="M203" i="5"/>
  <c r="O203" i="5"/>
  <c r="N198" i="5"/>
  <c r="O198" i="5"/>
  <c r="M198" i="5"/>
  <c r="L198" i="5"/>
  <c r="M162" i="5"/>
  <c r="L162" i="5"/>
  <c r="N162" i="5"/>
  <c r="O162" i="5"/>
  <c r="O44" i="5"/>
  <c r="L44" i="5"/>
  <c r="N44" i="5"/>
  <c r="M44" i="5"/>
  <c r="N253" i="5"/>
  <c r="M253" i="5"/>
  <c r="O253" i="5"/>
  <c r="L253" i="5"/>
  <c r="M155" i="5"/>
  <c r="O155" i="5"/>
  <c r="L155" i="5"/>
  <c r="N155" i="5"/>
  <c r="L207" i="5"/>
  <c r="N207" i="5"/>
  <c r="M207" i="5"/>
  <c r="O207" i="5"/>
  <c r="M153" i="5"/>
  <c r="L153" i="5"/>
  <c r="N153" i="5"/>
  <c r="O153" i="5"/>
  <c r="L201" i="5"/>
  <c r="M201" i="5"/>
  <c r="O201" i="5"/>
  <c r="N201" i="5"/>
  <c r="N214" i="5"/>
  <c r="O214" i="5"/>
  <c r="L214" i="5"/>
  <c r="M214" i="5"/>
  <c r="M115" i="5"/>
  <c r="O115" i="5"/>
  <c r="L115" i="5"/>
  <c r="N115" i="5"/>
  <c r="M168" i="5"/>
  <c r="N168" i="5"/>
  <c r="O168" i="5"/>
  <c r="L168" i="5"/>
  <c r="L325" i="5"/>
  <c r="O325" i="5"/>
  <c r="M325" i="5"/>
  <c r="N325" i="5"/>
  <c r="O166" i="5"/>
  <c r="M166" i="5"/>
  <c r="N166" i="5"/>
  <c r="L166" i="5"/>
  <c r="O306" i="5"/>
  <c r="M306" i="5"/>
  <c r="N306" i="5"/>
  <c r="L306" i="5"/>
  <c r="M91" i="5"/>
  <c r="O91" i="5"/>
  <c r="N91" i="5"/>
  <c r="L91" i="5"/>
  <c r="L128" i="5"/>
  <c r="N128" i="5"/>
  <c r="O128" i="5"/>
  <c r="M128" i="5"/>
  <c r="M291" i="5"/>
  <c r="N291" i="5"/>
  <c r="O291" i="5"/>
  <c r="L291" i="5"/>
  <c r="N156" i="5"/>
  <c r="O156" i="5"/>
  <c r="L156" i="5"/>
  <c r="M156" i="5"/>
  <c r="L32" i="5"/>
  <c r="N32" i="5"/>
  <c r="O32" i="5"/>
  <c r="M32" i="5"/>
  <c r="M215" i="5"/>
  <c r="L215" i="5"/>
  <c r="N215" i="5"/>
  <c r="O215" i="5"/>
  <c r="N230" i="5"/>
  <c r="O230" i="5"/>
  <c r="M230" i="5"/>
  <c r="L230" i="5"/>
  <c r="M145" i="5"/>
  <c r="L145" i="5"/>
  <c r="N145" i="5"/>
  <c r="O145" i="5"/>
  <c r="M147" i="5"/>
  <c r="O147" i="5"/>
  <c r="N147" i="5"/>
  <c r="L147" i="5"/>
  <c r="M26" i="5"/>
  <c r="O26" i="5"/>
  <c r="L26" i="5"/>
  <c r="N26" i="5"/>
  <c r="M219" i="5"/>
  <c r="L219" i="5"/>
  <c r="O219" i="5"/>
  <c r="N219" i="5"/>
  <c r="M224" i="5"/>
  <c r="N224" i="5"/>
  <c r="O224" i="5"/>
  <c r="L224" i="5"/>
  <c r="N169" i="5"/>
  <c r="O169" i="5"/>
  <c r="L169" i="5"/>
  <c r="M169" i="5"/>
  <c r="O132" i="5"/>
  <c r="L132" i="5"/>
  <c r="M132" i="5"/>
  <c r="N132" i="5"/>
  <c r="L264" i="5"/>
  <c r="M264" i="5"/>
  <c r="N264" i="5"/>
  <c r="O264" i="5"/>
  <c r="O191" i="5"/>
  <c r="M191" i="5"/>
  <c r="L191" i="5"/>
  <c r="N191" i="5"/>
  <c r="O218" i="5"/>
  <c r="M218" i="5"/>
  <c r="N218" i="5"/>
  <c r="L218" i="5"/>
  <c r="O20" i="5"/>
  <c r="L20" i="5"/>
  <c r="N20" i="5"/>
  <c r="M20" i="5"/>
  <c r="M107" i="5"/>
  <c r="O107" i="5"/>
  <c r="L107" i="5"/>
  <c r="N107" i="5"/>
  <c r="M173" i="5"/>
  <c r="L173" i="5"/>
  <c r="O173" i="5"/>
  <c r="N173" i="5"/>
  <c r="M160" i="5"/>
  <c r="N160" i="5"/>
  <c r="O160" i="5"/>
  <c r="L160" i="5"/>
  <c r="M314" i="5"/>
  <c r="L314" i="5"/>
  <c r="N314" i="5"/>
  <c r="O314" i="5"/>
  <c r="M323" i="5"/>
  <c r="N323" i="5"/>
  <c r="L323" i="5"/>
  <c r="O323" i="5"/>
  <c r="N73" i="5"/>
  <c r="O73" i="5"/>
  <c r="M73" i="5"/>
  <c r="L73" i="5"/>
  <c r="M110" i="5"/>
  <c r="O110" i="5"/>
  <c r="N110" i="5"/>
  <c r="L110" i="5"/>
  <c r="O104" i="5"/>
  <c r="M104" i="5"/>
  <c r="L104" i="5"/>
  <c r="N104" i="5"/>
  <c r="M282" i="5"/>
  <c r="L282" i="5"/>
  <c r="N282" i="5"/>
  <c r="O282" i="5"/>
  <c r="M320" i="5"/>
  <c r="O320" i="5"/>
  <c r="L320" i="5"/>
  <c r="N320" i="5"/>
  <c r="M61" i="5"/>
  <c r="N61" i="5"/>
  <c r="L61" i="5"/>
  <c r="O61" i="5"/>
  <c r="L75" i="5"/>
  <c r="N75" i="5"/>
  <c r="M75" i="5"/>
  <c r="O75" i="5"/>
  <c r="M98" i="5"/>
  <c r="O98" i="5"/>
  <c r="L98" i="5"/>
  <c r="N98" i="5"/>
  <c r="N270" i="5"/>
  <c r="O270" i="5"/>
  <c r="M270" i="5"/>
  <c r="L270" i="5"/>
  <c r="O308" i="5"/>
  <c r="N308" i="5"/>
  <c r="M308" i="5"/>
  <c r="L308" i="5"/>
  <c r="M49" i="5"/>
  <c r="O49" i="5"/>
  <c r="L49" i="5"/>
  <c r="N49" i="5"/>
  <c r="O63" i="5"/>
  <c r="L63" i="5"/>
  <c r="N63" i="5"/>
  <c r="M63" i="5"/>
  <c r="O92" i="5"/>
  <c r="L92" i="5"/>
  <c r="M92" i="5"/>
  <c r="N92" i="5"/>
  <c r="O258" i="5"/>
  <c r="M258" i="5"/>
  <c r="L258" i="5"/>
  <c r="N258" i="5"/>
  <c r="N296" i="5"/>
  <c r="M296" i="5"/>
  <c r="O296" i="5"/>
  <c r="L296" i="5"/>
  <c r="M19" i="5"/>
  <c r="O19" i="5"/>
  <c r="L19" i="5"/>
  <c r="N19" i="5"/>
  <c r="M35" i="5"/>
  <c r="O35" i="5"/>
  <c r="N35" i="5"/>
  <c r="L35" i="5"/>
  <c r="L78" i="5"/>
  <c r="M78" i="5"/>
  <c r="N78" i="5"/>
  <c r="O78" i="5"/>
  <c r="L233" i="5"/>
  <c r="M233" i="5"/>
  <c r="N233" i="5"/>
  <c r="O233" i="5"/>
  <c r="M269" i="5"/>
  <c r="L269" i="5"/>
  <c r="O269" i="5"/>
  <c r="N269" i="5"/>
  <c r="N216" i="5"/>
  <c r="O216" i="5"/>
  <c r="L216" i="5"/>
  <c r="M216" i="5"/>
  <c r="L157" i="5"/>
  <c r="O157" i="5"/>
  <c r="N157" i="5"/>
  <c r="M157" i="5"/>
  <c r="M179" i="5"/>
  <c r="O179" i="5"/>
  <c r="N179" i="5"/>
  <c r="L179" i="5"/>
  <c r="M288" i="5"/>
  <c r="O288" i="5"/>
  <c r="L288" i="5"/>
  <c r="N288" i="5"/>
  <c r="M222" i="5"/>
  <c r="L222" i="5"/>
  <c r="O222" i="5"/>
  <c r="N222" i="5"/>
  <c r="M267" i="5"/>
  <c r="O267" i="5"/>
  <c r="L267" i="5"/>
  <c r="N267" i="5"/>
  <c r="M196" i="5"/>
  <c r="N196" i="5"/>
  <c r="O196" i="5"/>
  <c r="L196" i="5"/>
  <c r="M82" i="5"/>
  <c r="O82" i="5"/>
  <c r="N82" i="5"/>
  <c r="L82" i="5"/>
  <c r="N177" i="5"/>
  <c r="O177" i="5"/>
  <c r="M177" i="5"/>
  <c r="L177" i="5"/>
  <c r="O175" i="5"/>
  <c r="M175" i="5"/>
  <c r="L175" i="5"/>
  <c r="N175" i="5"/>
  <c r="M146" i="5"/>
  <c r="O146" i="5"/>
  <c r="L146" i="5"/>
  <c r="N146" i="5"/>
  <c r="O261" i="5"/>
  <c r="N261" i="5"/>
  <c r="M261" i="5"/>
  <c r="L261" i="5"/>
  <c r="O276" i="5"/>
  <c r="N276" i="5"/>
  <c r="L276" i="5"/>
  <c r="M276" i="5"/>
  <c r="L62" i="5"/>
  <c r="M62" i="5"/>
  <c r="O62" i="5"/>
  <c r="N62" i="5"/>
  <c r="O88" i="5"/>
  <c r="M88" i="5"/>
  <c r="N88" i="5"/>
  <c r="L88" i="5"/>
  <c r="N43" i="5"/>
  <c r="L43" i="5"/>
  <c r="O43" i="5"/>
  <c r="M43" i="5"/>
  <c r="O210" i="5"/>
  <c r="M210" i="5"/>
  <c r="L210" i="5"/>
  <c r="N210" i="5"/>
  <c r="O140" i="5"/>
  <c r="L140" i="5"/>
  <c r="N140" i="5"/>
  <c r="M140" i="5"/>
  <c r="N126" i="5"/>
  <c r="O126" i="5"/>
  <c r="L126" i="5"/>
  <c r="M126" i="5"/>
  <c r="L79" i="5"/>
  <c r="N79" i="5"/>
  <c r="O79" i="5"/>
  <c r="M79" i="5"/>
  <c r="O76" i="5"/>
  <c r="L76" i="5"/>
  <c r="N76" i="5"/>
  <c r="M76" i="5"/>
  <c r="M42" i="5"/>
  <c r="O42" i="5"/>
  <c r="L42" i="5"/>
  <c r="N42" i="5"/>
  <c r="M246" i="5"/>
  <c r="L246" i="5"/>
  <c r="N246" i="5"/>
  <c r="O246" i="5"/>
  <c r="O164" i="5"/>
  <c r="M164" i="5"/>
  <c r="N164" i="5"/>
  <c r="L164" i="5"/>
  <c r="O302" i="5"/>
  <c r="M302" i="5"/>
  <c r="L302" i="5"/>
  <c r="N302" i="5"/>
  <c r="O129" i="5"/>
  <c r="M129" i="5"/>
  <c r="L129" i="5"/>
  <c r="N129" i="5"/>
  <c r="M310" i="5"/>
  <c r="L310" i="5"/>
  <c r="N310" i="5"/>
  <c r="O310" i="5"/>
  <c r="M220" i="5"/>
  <c r="L220" i="5"/>
  <c r="N220" i="5"/>
  <c r="O220" i="5"/>
  <c r="M93" i="5"/>
  <c r="N93" i="5"/>
  <c r="L93" i="5"/>
  <c r="O93" i="5"/>
  <c r="N135" i="5"/>
  <c r="O135" i="5"/>
  <c r="L135" i="5"/>
  <c r="M135" i="5"/>
  <c r="O295" i="5"/>
  <c r="M295" i="5"/>
  <c r="N295" i="5"/>
  <c r="L295" i="5"/>
  <c r="N133" i="5"/>
  <c r="L133" i="5"/>
  <c r="M133" i="5"/>
  <c r="O133" i="5"/>
  <c r="N243" i="5"/>
  <c r="L243" i="5"/>
  <c r="M243" i="5"/>
  <c r="O243" i="5"/>
  <c r="N81" i="5"/>
  <c r="O81" i="5"/>
  <c r="L81" i="5"/>
  <c r="M81" i="5"/>
  <c r="M111" i="5"/>
  <c r="L111" i="5"/>
  <c r="N111" i="5"/>
  <c r="O111" i="5"/>
  <c r="O271" i="5"/>
  <c r="N271" i="5"/>
  <c r="L271" i="5"/>
  <c r="M271" i="5"/>
  <c r="M67" i="5"/>
  <c r="O67" i="5"/>
  <c r="N67" i="5"/>
  <c r="L67" i="5"/>
  <c r="L265" i="5"/>
  <c r="M265" i="5"/>
  <c r="N265" i="5"/>
  <c r="O265" i="5"/>
  <c r="M25" i="5"/>
  <c r="L25" i="5"/>
  <c r="O25" i="5"/>
  <c r="N25" i="5"/>
  <c r="L80" i="5"/>
  <c r="N80" i="5"/>
  <c r="O80" i="5"/>
  <c r="M80" i="5"/>
  <c r="O272" i="5"/>
  <c r="N272" i="5"/>
  <c r="L272" i="5"/>
  <c r="M272" i="5"/>
  <c r="M27" i="5"/>
  <c r="L27" i="5"/>
  <c r="N27" i="5"/>
  <c r="O27" i="5"/>
  <c r="M229" i="5"/>
  <c r="O229" i="5"/>
  <c r="N229" i="5"/>
  <c r="L229" i="5"/>
  <c r="M248" i="5"/>
  <c r="L248" i="5"/>
  <c r="O248" i="5"/>
  <c r="N248" i="5"/>
  <c r="O68" i="5"/>
  <c r="L68" i="5"/>
  <c r="N68" i="5"/>
  <c r="M68" i="5"/>
  <c r="O305" i="5"/>
  <c r="L305" i="5"/>
  <c r="M305" i="5"/>
  <c r="N305" i="5"/>
  <c r="L217" i="5"/>
  <c r="N217" i="5"/>
  <c r="M217" i="5"/>
  <c r="O217" i="5"/>
  <c r="M202" i="5"/>
  <c r="L202" i="5"/>
  <c r="O202" i="5"/>
  <c r="N202" i="5"/>
  <c r="O4" i="5"/>
  <c r="L4" i="5"/>
  <c r="M4" i="5"/>
  <c r="N4" i="5"/>
  <c r="O7" i="5"/>
  <c r="M7" i="5"/>
  <c r="L7" i="5"/>
  <c r="N7" i="5"/>
  <c r="L64" i="5"/>
  <c r="N64" i="5"/>
  <c r="O64" i="5"/>
  <c r="M64" i="5"/>
  <c r="M247" i="5"/>
  <c r="L247" i="5"/>
  <c r="O247" i="5"/>
  <c r="N247" i="5"/>
  <c r="M297" i="5"/>
  <c r="O297" i="5"/>
  <c r="N297" i="5"/>
  <c r="L297" i="5"/>
  <c r="L16" i="5"/>
  <c r="N16" i="5"/>
  <c r="O16" i="5"/>
  <c r="M16" i="5"/>
  <c r="M205" i="5"/>
  <c r="L205" i="5"/>
  <c r="N205" i="5"/>
  <c r="O205" i="5"/>
  <c r="L58" i="5"/>
  <c r="N58" i="5"/>
  <c r="M58" i="5"/>
  <c r="O58" i="5"/>
  <c r="L213" i="5"/>
  <c r="M213" i="5"/>
  <c r="N213" i="5"/>
  <c r="O213" i="5"/>
  <c r="N285" i="5"/>
  <c r="L285" i="5"/>
  <c r="O285" i="5"/>
  <c r="M285" i="5"/>
  <c r="L130" i="5"/>
  <c r="N130" i="5"/>
  <c r="O130" i="5"/>
  <c r="M130" i="5"/>
  <c r="O209" i="5"/>
  <c r="L209" i="5"/>
  <c r="N209" i="5"/>
  <c r="M209" i="5"/>
  <c r="O52" i="5"/>
  <c r="L52" i="5"/>
  <c r="M52" i="5"/>
  <c r="N52" i="5"/>
  <c r="L200" i="5"/>
  <c r="M200" i="5"/>
  <c r="O200" i="5"/>
  <c r="N200" i="5"/>
  <c r="O273" i="5"/>
  <c r="L273" i="5"/>
  <c r="M273" i="5"/>
  <c r="N273" i="5"/>
  <c r="M186" i="5"/>
  <c r="N186" i="5"/>
  <c r="O186" i="5"/>
  <c r="L186" i="5"/>
  <c r="M171" i="5"/>
  <c r="L171" i="5"/>
  <c r="N171" i="5"/>
  <c r="O171" i="5"/>
  <c r="L38" i="5"/>
  <c r="M38" i="5"/>
  <c r="O38" i="5"/>
  <c r="N38" i="5"/>
  <c r="M318" i="5"/>
  <c r="L318" i="5"/>
  <c r="O318" i="5"/>
  <c r="N318" i="5"/>
  <c r="M238" i="5"/>
  <c r="L238" i="5"/>
  <c r="O238" i="5"/>
  <c r="N238" i="5"/>
  <c r="M121" i="5"/>
  <c r="L121" i="5"/>
  <c r="O121" i="5"/>
  <c r="N121" i="5"/>
  <c r="N108" i="5"/>
  <c r="O108" i="5"/>
  <c r="L108" i="5"/>
  <c r="M108" i="5"/>
  <c r="M174" i="5"/>
  <c r="L174" i="5"/>
  <c r="O174" i="5"/>
  <c r="N174" i="5"/>
  <c r="M167" i="5"/>
  <c r="O167" i="5"/>
  <c r="N167" i="5"/>
  <c r="L167" i="5"/>
  <c r="M322" i="5"/>
  <c r="L322" i="5"/>
  <c r="N322" i="5"/>
  <c r="O322" i="5"/>
  <c r="N326" i="5"/>
  <c r="O326" i="5"/>
  <c r="L326" i="5"/>
  <c r="M326" i="5"/>
  <c r="N103" i="5"/>
  <c r="O103" i="5"/>
  <c r="M103" i="5"/>
  <c r="L103" i="5"/>
  <c r="L165" i="5"/>
  <c r="N165" i="5"/>
  <c r="O165" i="5"/>
  <c r="M165" i="5"/>
  <c r="O152" i="5"/>
  <c r="M152" i="5"/>
  <c r="N152" i="5"/>
  <c r="L152" i="5"/>
  <c r="O298" i="5"/>
  <c r="N298" i="5"/>
  <c r="L298" i="5"/>
  <c r="M298" i="5"/>
  <c r="M315" i="5"/>
  <c r="N315" i="5"/>
  <c r="O315" i="5"/>
  <c r="L315" i="5"/>
  <c r="O97" i="5"/>
  <c r="M97" i="5"/>
  <c r="N97" i="5"/>
  <c r="L97" i="5"/>
  <c r="O150" i="5"/>
  <c r="L150" i="5"/>
  <c r="N150" i="5"/>
  <c r="M150" i="5"/>
  <c r="M143" i="5"/>
  <c r="L143" i="5"/>
  <c r="O143" i="5"/>
  <c r="N143" i="5"/>
  <c r="L260" i="5"/>
  <c r="M260" i="5"/>
  <c r="O260" i="5"/>
  <c r="N260" i="5"/>
  <c r="L303" i="5"/>
  <c r="N303" i="5"/>
  <c r="O303" i="5"/>
  <c r="M303" i="5"/>
  <c r="M83" i="5"/>
  <c r="O83" i="5"/>
  <c r="L83" i="5"/>
  <c r="N83" i="5"/>
  <c r="L125" i="5"/>
  <c r="O125" i="5"/>
  <c r="N125" i="5"/>
  <c r="M125" i="5"/>
  <c r="L112" i="5"/>
  <c r="O112" i="5"/>
  <c r="N112" i="5"/>
  <c r="M112" i="5"/>
  <c r="M235" i="5"/>
  <c r="L235" i="5"/>
  <c r="O235" i="5"/>
  <c r="N235" i="5"/>
  <c r="M275" i="5"/>
  <c r="N275" i="5"/>
  <c r="O275" i="5"/>
  <c r="L275" i="5"/>
  <c r="N131" i="5"/>
  <c r="L131" i="5"/>
  <c r="O131" i="5"/>
  <c r="M131" i="5"/>
  <c r="O18" i="5"/>
  <c r="L18" i="5"/>
  <c r="M18" i="5"/>
  <c r="N18" i="5"/>
  <c r="O195" i="5"/>
  <c r="N195" i="5"/>
  <c r="M195" i="5"/>
  <c r="L195" i="5"/>
  <c r="N170" i="5"/>
  <c r="O170" i="5"/>
  <c r="M170" i="5"/>
  <c r="L170" i="5"/>
  <c r="O31" i="5"/>
  <c r="L31" i="5"/>
  <c r="N31" i="5"/>
  <c r="M31" i="5"/>
  <c r="N293" i="5"/>
  <c r="M293" i="5"/>
  <c r="O293" i="5"/>
  <c r="L293" i="5"/>
  <c r="M250" i="5"/>
  <c r="N250" i="5"/>
  <c r="O250" i="5"/>
  <c r="L250" i="5"/>
  <c r="N184" i="5"/>
  <c r="O184" i="5"/>
  <c r="L184" i="5"/>
  <c r="M184" i="5"/>
  <c r="M99" i="5"/>
  <c r="O99" i="5"/>
  <c r="L99" i="5"/>
  <c r="N99" i="5"/>
  <c r="L211" i="5"/>
  <c r="N211" i="5"/>
  <c r="O211" i="5"/>
  <c r="M211" i="5"/>
  <c r="L119" i="5"/>
  <c r="M119" i="5"/>
  <c r="N119" i="5"/>
  <c r="O119" i="5"/>
  <c r="M117" i="5"/>
  <c r="O117" i="5"/>
  <c r="L117" i="5"/>
  <c r="N117" i="5"/>
  <c r="M321" i="5"/>
  <c r="L321" i="5"/>
  <c r="O321" i="5"/>
  <c r="N321" i="5"/>
  <c r="L106" i="5"/>
  <c r="N106" i="5"/>
  <c r="M106" i="5"/>
  <c r="O106" i="5"/>
  <c r="M324" i="5"/>
  <c r="N324" i="5"/>
  <c r="O324" i="5"/>
  <c r="L324" i="5"/>
  <c r="N77" i="5"/>
  <c r="L77" i="5"/>
  <c r="O77" i="5"/>
  <c r="M77" i="5"/>
  <c r="L274" i="5"/>
  <c r="M274" i="5"/>
  <c r="N274" i="5"/>
  <c r="O274" i="5"/>
  <c r="M37" i="5"/>
  <c r="L37" i="5"/>
  <c r="O37" i="5"/>
  <c r="N37" i="5"/>
  <c r="L86" i="5"/>
  <c r="M86" i="5"/>
  <c r="N86" i="5"/>
  <c r="O86" i="5"/>
  <c r="M284" i="5"/>
  <c r="L284" i="5"/>
  <c r="O284" i="5"/>
  <c r="N284" i="5"/>
  <c r="O256" i="5"/>
  <c r="M256" i="5"/>
  <c r="N256" i="5"/>
  <c r="L256" i="5"/>
  <c r="L204" i="5"/>
  <c r="O204" i="5"/>
  <c r="M204" i="5"/>
  <c r="N204" i="5"/>
  <c r="M138" i="5"/>
  <c r="O138" i="5"/>
  <c r="L138" i="5"/>
  <c r="N138" i="5"/>
  <c r="L50" i="5"/>
  <c r="N50" i="5"/>
  <c r="M50" i="5"/>
  <c r="O50" i="5"/>
  <c r="N262" i="5"/>
  <c r="O262" i="5"/>
  <c r="M262" i="5"/>
  <c r="L262" i="5"/>
  <c r="O180" i="5"/>
  <c r="M180" i="5"/>
  <c r="L180" i="5"/>
  <c r="N180" i="5"/>
  <c r="O192" i="5"/>
  <c r="M192" i="5"/>
  <c r="N192" i="5"/>
  <c r="L192" i="5"/>
  <c r="O14" i="5"/>
  <c r="L14" i="5"/>
  <c r="M14" i="5"/>
  <c r="N14" i="5"/>
  <c r="L30" i="5"/>
  <c r="M30" i="5"/>
  <c r="N30" i="5"/>
  <c r="O30" i="5"/>
  <c r="M228" i="5"/>
  <c r="N228" i="5"/>
  <c r="L228" i="5"/>
  <c r="O228" i="5"/>
  <c r="O124" i="5"/>
  <c r="L124" i="5"/>
  <c r="N124" i="5"/>
  <c r="M124" i="5"/>
  <c r="M183" i="5"/>
  <c r="L183" i="5"/>
  <c r="O183" i="5"/>
  <c r="N183" i="5"/>
  <c r="L2" i="5"/>
  <c r="N2" i="5"/>
  <c r="O2" i="5"/>
  <c r="M2" i="5"/>
  <c r="L181" i="5"/>
  <c r="O181" i="5"/>
  <c r="M181" i="5"/>
  <c r="N181" i="5"/>
  <c r="M208" i="5"/>
  <c r="L208" i="5"/>
  <c r="O208" i="5"/>
  <c r="N208" i="5"/>
  <c r="O105" i="5"/>
  <c r="M105" i="5"/>
  <c r="N105" i="5"/>
  <c r="L105" i="5"/>
  <c r="O159" i="5"/>
  <c r="M159" i="5"/>
  <c r="N159" i="5"/>
  <c r="L159" i="5"/>
  <c r="O319" i="5"/>
  <c r="N319" i="5"/>
  <c r="L319" i="5"/>
  <c r="M319" i="5"/>
  <c r="L141" i="5"/>
  <c r="O141" i="5"/>
  <c r="N141" i="5"/>
  <c r="M141" i="5"/>
  <c r="M251" i="5"/>
  <c r="L251" i="5"/>
  <c r="N251" i="5"/>
  <c r="O251" i="5"/>
  <c r="O57" i="5"/>
  <c r="M57" i="5"/>
  <c r="L57" i="5"/>
  <c r="N57" i="5"/>
  <c r="N71" i="5"/>
  <c r="O71" i="5"/>
  <c r="L71" i="5"/>
  <c r="M71" i="5"/>
  <c r="L96" i="5"/>
  <c r="N96" i="5"/>
  <c r="M96" i="5"/>
  <c r="O96" i="5"/>
  <c r="N266" i="5"/>
  <c r="O266" i="5"/>
  <c r="M266" i="5"/>
  <c r="L266" i="5"/>
  <c r="O304" i="5"/>
  <c r="N304" i="5"/>
  <c r="M304" i="5"/>
  <c r="L304" i="5"/>
  <c r="L45" i="5"/>
  <c r="O45" i="5"/>
  <c r="M45" i="5"/>
  <c r="N45" i="5"/>
  <c r="M59" i="5"/>
  <c r="O59" i="5"/>
  <c r="L59" i="5"/>
  <c r="N59" i="5"/>
  <c r="L90" i="5"/>
  <c r="N90" i="5"/>
  <c r="O90" i="5"/>
  <c r="M90" i="5"/>
  <c r="L257" i="5"/>
  <c r="N257" i="5"/>
  <c r="M257" i="5"/>
  <c r="O257" i="5"/>
  <c r="M292" i="5"/>
  <c r="L292" i="5"/>
  <c r="N292" i="5"/>
  <c r="O292" i="5"/>
  <c r="M33" i="5"/>
  <c r="O33" i="5"/>
  <c r="L33" i="5"/>
  <c r="N33" i="5"/>
  <c r="O47" i="5"/>
  <c r="M47" i="5"/>
  <c r="N47" i="5"/>
  <c r="L47" i="5"/>
  <c r="O84" i="5"/>
  <c r="L84" i="5"/>
  <c r="M84" i="5"/>
  <c r="N84" i="5"/>
  <c r="O242" i="5"/>
  <c r="M242" i="5"/>
  <c r="N242" i="5"/>
  <c r="L242" i="5"/>
  <c r="N280" i="5"/>
  <c r="M280" i="5"/>
  <c r="L280" i="5"/>
  <c r="O280" i="5"/>
  <c r="M3" i="5"/>
  <c r="L3" i="5"/>
  <c r="O3" i="5"/>
  <c r="N3" i="5"/>
  <c r="O21" i="5"/>
  <c r="L21" i="5"/>
  <c r="N21" i="5"/>
  <c r="M21" i="5"/>
  <c r="L70" i="5"/>
  <c r="M70" i="5"/>
  <c r="N70" i="5"/>
  <c r="O70" i="5"/>
  <c r="L225" i="5"/>
  <c r="N225" i="5"/>
  <c r="M225" i="5"/>
  <c r="O225" i="5"/>
  <c r="N309" i="5"/>
  <c r="L309" i="5"/>
  <c r="O309" i="5"/>
  <c r="M309" i="5"/>
  <c r="O178" i="5"/>
  <c r="M178" i="5"/>
  <c r="L178" i="5"/>
  <c r="N178" i="5"/>
  <c r="O172" i="5"/>
  <c r="M172" i="5"/>
  <c r="L172" i="5"/>
  <c r="N172" i="5"/>
  <c r="M40" i="5"/>
  <c r="O40" i="5"/>
  <c r="L40" i="5"/>
  <c r="N40" i="5"/>
  <c r="N188" i="5"/>
  <c r="O188" i="5"/>
  <c r="M188" i="5"/>
  <c r="L188" i="5"/>
  <c r="L245" i="5"/>
  <c r="O245" i="5"/>
  <c r="M245" i="5"/>
  <c r="N245" i="5"/>
  <c r="L189" i="5"/>
  <c r="N189" i="5"/>
  <c r="M189" i="5"/>
  <c r="O189" i="5"/>
  <c r="O163" i="5"/>
  <c r="N163" i="5"/>
  <c r="M163" i="5"/>
  <c r="L163" i="5"/>
  <c r="L34" i="5"/>
  <c r="N34" i="5"/>
  <c r="M34" i="5"/>
  <c r="O34" i="5"/>
  <c r="N223" i="5"/>
  <c r="O223" i="5"/>
  <c r="M223" i="5"/>
  <c r="L223" i="5"/>
  <c r="L232" i="5"/>
  <c r="O232" i="5"/>
  <c r="M232" i="5"/>
  <c r="N232" i="5"/>
  <c r="N137" i="5"/>
  <c r="O137" i="5"/>
  <c r="M137" i="5"/>
  <c r="L137" i="5"/>
  <c r="O148" i="5"/>
  <c r="L148" i="5"/>
  <c r="M148" i="5"/>
  <c r="N148" i="5"/>
  <c r="O28" i="5"/>
  <c r="L28" i="5"/>
  <c r="N28" i="5"/>
  <c r="M28" i="5"/>
  <c r="O240" i="5"/>
  <c r="M240" i="5"/>
  <c r="L240" i="5"/>
  <c r="N240" i="5"/>
  <c r="O226" i="5"/>
  <c r="M226" i="5"/>
  <c r="L226" i="5"/>
  <c r="N226" i="5"/>
  <c r="O161" i="5"/>
  <c r="L161" i="5"/>
  <c r="N161" i="5"/>
  <c r="M161" i="5"/>
  <c r="M123" i="5"/>
  <c r="O123" i="5"/>
  <c r="L123" i="5"/>
  <c r="N123" i="5"/>
  <c r="L193" i="5"/>
  <c r="N193" i="5"/>
  <c r="M193" i="5"/>
  <c r="O193" i="5"/>
  <c r="M176" i="5"/>
  <c r="L176" i="5"/>
  <c r="O176" i="5"/>
  <c r="N176" i="5"/>
  <c r="M212" i="5"/>
  <c r="L212" i="5"/>
  <c r="O212" i="5"/>
  <c r="N212" i="5"/>
  <c r="L10" i="5"/>
  <c r="N10" i="5"/>
  <c r="O10" i="5"/>
  <c r="M10" i="5"/>
  <c r="L48" i="5"/>
  <c r="N48" i="5"/>
  <c r="M48" i="5"/>
  <c r="O48" i="5"/>
  <c r="O231" i="5"/>
  <c r="L231" i="5"/>
  <c r="M231" i="5"/>
  <c r="N231" i="5"/>
  <c r="M113" i="5"/>
  <c r="L113" i="5"/>
  <c r="O113" i="5"/>
  <c r="N113" i="5"/>
  <c r="M206" i="5"/>
  <c r="L206" i="5"/>
  <c r="O206" i="5"/>
  <c r="N206" i="5"/>
  <c r="L236" i="5"/>
  <c r="O236" i="5"/>
  <c r="M236" i="5"/>
  <c r="N236" i="5"/>
  <c r="N241" i="5"/>
  <c r="O241" i="5"/>
  <c r="M241" i="5"/>
  <c r="L241" i="5"/>
  <c r="M5" i="5"/>
  <c r="L5" i="5"/>
  <c r="N5" i="5"/>
  <c r="O5" i="5"/>
  <c r="M190" i="5"/>
  <c r="L190" i="5"/>
  <c r="N190" i="5"/>
  <c r="O190" i="5"/>
  <c r="L6" i="5"/>
  <c r="M6" i="5"/>
  <c r="N6" i="5"/>
  <c r="O6" i="5"/>
  <c r="M36" i="5"/>
  <c r="L36" i="5"/>
  <c r="N36" i="5"/>
  <c r="O36" i="5"/>
  <c r="N237" i="5"/>
  <c r="M237" i="5"/>
  <c r="L237" i="5"/>
  <c r="O237" i="5"/>
  <c r="M139" i="5"/>
  <c r="O139" i="5"/>
  <c r="L139" i="5"/>
  <c r="N139" i="5"/>
  <c r="L199" i="5"/>
  <c r="M199" i="5"/>
  <c r="N199" i="5"/>
  <c r="O199" i="5"/>
  <c r="L185" i="5"/>
  <c r="M185" i="5"/>
  <c r="N185" i="5"/>
  <c r="O185" i="5"/>
  <c r="L142" i="5"/>
  <c r="M142" i="5"/>
  <c r="N142" i="5"/>
  <c r="O142" i="5"/>
  <c r="M252" i="5"/>
  <c r="L252" i="5"/>
  <c r="N252" i="5"/>
  <c r="O252" i="5"/>
  <c r="N87" i="5"/>
  <c r="O87" i="5"/>
  <c r="L87" i="5"/>
  <c r="M87" i="5"/>
  <c r="O120" i="5"/>
  <c r="M120" i="5"/>
  <c r="L120" i="5"/>
  <c r="N120" i="5"/>
  <c r="M283" i="5"/>
  <c r="N283" i="5"/>
  <c r="L283" i="5"/>
  <c r="O283" i="5"/>
  <c r="O118" i="5"/>
  <c r="L118" i="5"/>
  <c r="M118" i="5"/>
  <c r="N118" i="5"/>
  <c r="N290" i="5"/>
  <c r="M290" i="5"/>
  <c r="L290" i="5"/>
  <c r="O290" i="5"/>
  <c r="O53" i="5"/>
  <c r="L53" i="5"/>
  <c r="M53" i="5"/>
  <c r="N53" i="5"/>
  <c r="L94" i="5"/>
  <c r="M94" i="5"/>
  <c r="N94" i="5"/>
  <c r="O94" i="5"/>
  <c r="M300" i="5"/>
  <c r="L300" i="5"/>
  <c r="N300" i="5"/>
  <c r="O300" i="5"/>
  <c r="M39" i="5"/>
  <c r="O39" i="5"/>
  <c r="N39" i="5"/>
  <c r="L39" i="5"/>
  <c r="N234" i="5"/>
  <c r="O234" i="5"/>
  <c r="L234" i="5"/>
  <c r="M234" i="5"/>
  <c r="L13" i="5"/>
  <c r="O13" i="5"/>
  <c r="N13" i="5"/>
  <c r="M13" i="5"/>
  <c r="L74" i="5"/>
  <c r="N74" i="5"/>
  <c r="O74" i="5"/>
  <c r="M74" i="5"/>
  <c r="N317" i="5"/>
  <c r="M317" i="5"/>
  <c r="L317" i="5"/>
  <c r="O317" i="5"/>
  <c r="O17" i="5"/>
  <c r="L17" i="5"/>
  <c r="M17" i="5"/>
  <c r="N17" i="5"/>
  <c r="O263" i="5"/>
  <c r="L263" i="5"/>
  <c r="N263" i="5"/>
  <c r="M263" i="5"/>
  <c r="L122" i="5"/>
  <c r="N122" i="5"/>
  <c r="M122" i="5"/>
  <c r="O122" i="5"/>
  <c r="L54" i="5"/>
  <c r="M54" i="5"/>
  <c r="O54" i="5"/>
  <c r="N54" i="5"/>
  <c r="N277" i="5"/>
  <c r="L277" i="5"/>
  <c r="O277" i="5"/>
  <c r="M277" i="5"/>
  <c r="L101" i="5"/>
  <c r="M101" i="5"/>
  <c r="O101" i="5"/>
  <c r="N101" i="5"/>
  <c r="N158" i="5"/>
  <c r="O158" i="5"/>
  <c r="L158" i="5"/>
  <c r="M158" i="5"/>
  <c r="L151" i="5"/>
  <c r="M151" i="5"/>
  <c r="O151" i="5"/>
  <c r="N151" i="5"/>
  <c r="L268" i="5"/>
  <c r="O268" i="5"/>
  <c r="N268" i="5"/>
  <c r="M268" i="5"/>
  <c r="N311" i="5"/>
  <c r="M311" i="5"/>
  <c r="O311" i="5"/>
  <c r="L311" i="5"/>
  <c r="L95" i="5"/>
  <c r="N95" i="5"/>
  <c r="O95" i="5"/>
  <c r="M95" i="5"/>
  <c r="M149" i="5"/>
  <c r="O149" i="5"/>
  <c r="N149" i="5"/>
  <c r="L149" i="5"/>
  <c r="L136" i="5"/>
  <c r="N136" i="5"/>
  <c r="M136" i="5"/>
  <c r="O136" i="5"/>
  <c r="M259" i="5"/>
  <c r="L259" i="5"/>
  <c r="N259" i="5"/>
  <c r="O259" i="5"/>
  <c r="O299" i="5"/>
  <c r="L299" i="5"/>
  <c r="N299" i="5"/>
  <c r="M299" i="5"/>
  <c r="O89" i="5"/>
  <c r="M89" i="5"/>
  <c r="N89" i="5"/>
  <c r="L89" i="5"/>
  <c r="O134" i="5"/>
  <c r="L134" i="5"/>
  <c r="N134" i="5"/>
  <c r="M134" i="5"/>
  <c r="O127" i="5"/>
  <c r="L127" i="5"/>
  <c r="M127" i="5"/>
  <c r="N127" i="5"/>
  <c r="O244" i="5"/>
  <c r="M244" i="5"/>
  <c r="N244" i="5"/>
  <c r="L244" i="5"/>
  <c r="O287" i="5"/>
  <c r="N287" i="5"/>
  <c r="L287" i="5"/>
  <c r="M287" i="5"/>
  <c r="M69" i="5"/>
  <c r="O69" i="5"/>
  <c r="L69" i="5"/>
  <c r="N69" i="5"/>
  <c r="L109" i="5"/>
  <c r="O109" i="5"/>
  <c r="N109" i="5"/>
  <c r="M109" i="5"/>
  <c r="L102" i="5"/>
  <c r="M102" i="5"/>
  <c r="O102" i="5"/>
  <c r="N102" i="5"/>
  <c r="M278" i="5"/>
  <c r="L278" i="5"/>
  <c r="O278" i="5"/>
  <c r="N278" i="5"/>
  <c r="M316" i="5"/>
  <c r="L316" i="5"/>
  <c r="N316" i="5"/>
  <c r="O316" i="5"/>
  <c r="N9" i="5"/>
  <c r="O9" i="5"/>
  <c r="M9" i="5"/>
  <c r="L9" i="5"/>
  <c r="O23" i="5"/>
  <c r="M23" i="5"/>
  <c r="N23" i="5"/>
  <c r="L23" i="5"/>
  <c r="O72" i="5"/>
  <c r="M72" i="5"/>
  <c r="N72" i="5"/>
  <c r="L72" i="5"/>
  <c r="M227" i="5"/>
  <c r="L227" i="5"/>
  <c r="N227" i="5"/>
  <c r="O227" i="5"/>
  <c r="L313" i="5"/>
  <c r="N313" i="5"/>
  <c r="O313" i="5"/>
  <c r="M313" i="5"/>
  <c r="O197" i="5"/>
  <c r="N197" i="5"/>
  <c r="L197" i="5"/>
  <c r="M197" i="5"/>
  <c r="L11" i="5"/>
  <c r="O11" i="5"/>
  <c r="N11" i="5"/>
  <c r="M11" i="5"/>
  <c r="M66" i="5"/>
  <c r="O66" i="5"/>
  <c r="N66" i="5"/>
  <c r="L66" i="5"/>
  <c r="N255" i="5"/>
  <c r="O255" i="5"/>
  <c r="L255" i="5"/>
  <c r="M255" i="5"/>
  <c r="L301" i="5"/>
  <c r="O301" i="5"/>
  <c r="M301" i="5"/>
  <c r="N301" i="5"/>
  <c r="M8" i="5"/>
  <c r="O8" i="5"/>
  <c r="N8" i="5"/>
  <c r="L8" i="5"/>
  <c r="O294" i="5"/>
  <c r="M294" i="5"/>
  <c r="N294" i="5"/>
  <c r="L294" i="5"/>
  <c r="O60" i="5"/>
  <c r="L60" i="5"/>
  <c r="N60" i="5"/>
  <c r="M60" i="5"/>
  <c r="N221" i="5"/>
  <c r="L221" i="5"/>
  <c r="M221" i="5"/>
  <c r="O221" i="5"/>
  <c r="O289" i="5"/>
  <c r="L289" i="5"/>
  <c r="M289" i="5"/>
  <c r="N289" i="5"/>
  <c r="L154" i="5"/>
  <c r="N154" i="5"/>
  <c r="M154" i="5"/>
  <c r="O154" i="5"/>
  <c r="M187" i="5"/>
  <c r="L187" i="5"/>
  <c r="N187" i="5"/>
  <c r="O187" i="5"/>
  <c r="L46" i="5"/>
  <c r="M46" i="5"/>
  <c r="O46" i="5"/>
  <c r="N46" i="5"/>
  <c r="M194" i="5"/>
  <c r="L194" i="5"/>
  <c r="N194" i="5"/>
  <c r="O194" i="5"/>
  <c r="M254" i="5"/>
  <c r="L254" i="5"/>
  <c r="N254" i="5"/>
  <c r="O254" i="5"/>
  <c r="L22" i="5"/>
  <c r="M22" i="5"/>
  <c r="N22" i="5"/>
  <c r="O22" i="5"/>
  <c r="D6" i="9" l="1"/>
  <c r="E4" i="9"/>
  <c r="D5" i="9"/>
  <c r="E3" i="9"/>
  <c r="D4" i="9"/>
  <c r="E5" i="9"/>
  <c r="E6" i="9"/>
  <c r="D3" i="9"/>
</calcChain>
</file>

<file path=xl/sharedStrings.xml><?xml version="1.0" encoding="utf-8"?>
<sst xmlns="http://schemas.openxmlformats.org/spreadsheetml/2006/main" count="3568" uniqueCount="887">
  <si>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</si>
  <si>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</si>
  <si>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</si>
  <si>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</si>
  <si>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</si>
  <si>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</si>
  <si>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</si>
  <si>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</si>
  <si>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</si>
  <si>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</si>
  <si>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</si>
  <si>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</si>
  <si>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</si>
  <si>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</si>
  <si>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</si>
  <si>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</si>
  <si>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</si>
  <si>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</si>
  <si>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</si>
  <si>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</si>
  <si>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</si>
  <si>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</si>
  <si>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</si>
  <si>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</si>
  <si>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</si>
  <si>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</si>
  <si>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</si>
  <si>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</si>
  <si>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</si>
  <si>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</si>
  <si>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</si>
  <si>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</si>
  <si>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</si>
  <si>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</si>
  <si>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</si>
  <si>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</si>
  <si>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</si>
  <si>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</si>
  <si>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</si>
  <si>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</si>
  <si>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</si>
  <si>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</si>
  <si>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</si>
  <si>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</si>
  <si>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</si>
  <si>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</si>
  <si>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</si>
  <si>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</si>
  <si>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</si>
  <si>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</si>
  <si>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</si>
  <si>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</si>
  <si>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</si>
  <si>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</si>
  <si>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</si>
  <si>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</si>
  <si>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</si>
  <si>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</si>
  <si>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</si>
  <si>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</si>
  <si>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</si>
  <si>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</si>
  <si>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</si>
  <si>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</si>
  <si>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</si>
  <si>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</si>
  <si>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</si>
  <si>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</si>
  <si>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</si>
  <si>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</si>
  <si>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</si>
  <si>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</si>
  <si>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</si>
  <si>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</si>
  <si>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</si>
  <si>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</si>
  <si>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</si>
  <si>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</si>
  <si>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</si>
  <si>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</si>
  <si>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</si>
  <si>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</si>
  <si>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</si>
  <si>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</si>
  <si>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</si>
  <si>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</si>
  <si>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</si>
  <si>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</si>
  <si>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</si>
  <si>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</si>
  <si>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</si>
  <si>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</si>
  <si>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</si>
  <si>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</si>
  <si>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</si>
  <si>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</si>
  <si>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</si>
  <si>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</si>
  <si>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</si>
  <si>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</si>
  <si>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</si>
  <si>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</si>
  <si>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</si>
  <si>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</si>
  <si>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</si>
  <si>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</si>
  <si>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</si>
  <si>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</si>
  <si>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</si>
  <si>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</si>
  <si>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</si>
  <si>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</si>
  <si>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</si>
  <si>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</si>
  <si>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</si>
  <si>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</si>
  <si>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</si>
  <si>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</si>
  <si>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</si>
  <si>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</si>
  <si>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</si>
  <si>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</si>
  <si>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</si>
  <si>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</si>
  <si>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</si>
  <si>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</si>
  <si>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</si>
  <si>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</si>
  <si>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</si>
  <si>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</si>
  <si>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</si>
  <si>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</si>
  <si>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</si>
  <si>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</si>
  <si>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</si>
  <si>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</si>
  <si>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</si>
  <si>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</si>
  <si>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</si>
  <si>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</si>
  <si>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</si>
  <si>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</si>
  <si>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</si>
  <si>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</si>
  <si>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</si>
  <si>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</si>
  <si>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</si>
  <si>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</si>
  <si>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</si>
  <si>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</si>
  <si>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</si>
  <si>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</si>
  <si>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</si>
  <si>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</si>
  <si>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</si>
  <si>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</si>
  <si>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</si>
  <si>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</si>
  <si>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</si>
  <si>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</si>
  <si>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</si>
  <si>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</si>
  <si>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</si>
  <si>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</si>
  <si>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</si>
  <si>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</si>
  <si>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</si>
  <si>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</si>
  <si>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</si>
  <si>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</si>
  <si>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</si>
  <si>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</si>
  <si>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</si>
  <si>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</si>
  <si>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</si>
  <si>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</si>
  <si>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</si>
  <si>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</si>
  <si>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</si>
  <si>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</si>
  <si>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</si>
  <si>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</si>
  <si>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</si>
  <si>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</si>
  <si>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</si>
  <si>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</si>
  <si>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</si>
  <si>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</si>
  <si>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</si>
  <si>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</si>
  <si>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</si>
  <si>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</si>
  <si>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</si>
  <si>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</si>
  <si>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</si>
  <si>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</si>
  <si>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</si>
  <si>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</si>
  <si>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</si>
  <si>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</si>
  <si>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</si>
  <si>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</si>
  <si>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</si>
  <si>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</si>
  <si>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</si>
  <si>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</si>
  <si>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</si>
  <si>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</si>
  <si>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</si>
  <si>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</si>
  <si>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</si>
  <si>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</si>
  <si>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</si>
  <si>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</si>
  <si>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</si>
  <si>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</si>
  <si>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</si>
  <si>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</si>
  <si>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</si>
  <si>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</si>
  <si>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</si>
  <si>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</si>
  <si>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</si>
  <si>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</si>
  <si>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</si>
  <si>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</si>
  <si>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</si>
  <si>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</si>
  <si>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</si>
  <si>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</si>
  <si>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</si>
  <si>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</si>
  <si>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</si>
  <si>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</si>
  <si>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</si>
  <si>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</si>
  <si>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</si>
  <si>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</si>
  <si>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</si>
  <si>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</si>
  <si>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</si>
  <si>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</si>
  <si>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</si>
  <si>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</si>
  <si>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</si>
  <si>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</si>
  <si>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</si>
  <si>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</si>
  <si>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</si>
  <si>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</si>
  <si>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</si>
  <si>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</si>
  <si>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</si>
  <si>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</si>
  <si>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</si>
  <si>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</si>
  <si>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</si>
  <si>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</si>
  <si>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</si>
  <si>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</si>
  <si>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</si>
  <si>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</si>
  <si>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</si>
  <si>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</si>
  <si>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</si>
  <si>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</si>
  <si>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</si>
  <si>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</si>
  <si>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</si>
  <si>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</si>
  <si>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</si>
  <si>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</si>
  <si>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</si>
  <si>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</si>
  <si>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</si>
  <si>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</si>
  <si>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</si>
  <si>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</si>
  <si>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</si>
  <si>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</si>
  <si>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</si>
  <si>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</si>
  <si>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</si>
  <si>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</si>
  <si>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</si>
  <si>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</si>
  <si>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</si>
  <si>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</si>
  <si>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</si>
  <si>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</si>
  <si>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</si>
  <si>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</si>
  <si>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</si>
  <si>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</si>
  <si>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</si>
  <si>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</si>
  <si>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</si>
  <si>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</si>
  <si>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</si>
  <si>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</si>
  <si>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</si>
  <si>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</si>
  <si>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</si>
  <si>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</si>
  <si>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</si>
  <si>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</si>
  <si>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</si>
  <si>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</si>
  <si>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</si>
  <si>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</si>
  <si>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</si>
  <si>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</si>
  <si>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</si>
  <si>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</si>
  <si>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</si>
  <si>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</si>
  <si>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</si>
  <si>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</si>
  <si>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</si>
  <si>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</si>
  <si>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</si>
  <si>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</si>
  <si>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</si>
  <si>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</si>
  <si>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</si>
  <si>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</si>
  <si>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</si>
  <si>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</si>
  <si>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</si>
  <si>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</si>
  <si>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</si>
  <si>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</si>
  <si>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</si>
  <si>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</si>
  <si>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</si>
  <si>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</si>
  <si>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</si>
  <si>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</si>
  <si>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</si>
  <si>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</si>
  <si>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</si>
  <si>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</si>
  <si>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</si>
  <si>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</si>
  <si>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</si>
  <si>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</si>
  <si>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</si>
  <si>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</si>
  <si>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</si>
  <si>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</si>
  <si>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</si>
  <si>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</si>
  <si>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</si>
  <si>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</si>
  <si>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</si>
  <si>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</si>
  <si>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</si>
  <si>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</si>
  <si>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</si>
  <si>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</si>
  <si>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</si>
  <si>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</si>
  <si>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</si>
  <si>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</si>
  <si>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</si>
  <si>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</si>
  <si>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</si>
  <si>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</si>
  <si>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</si>
  <si>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</si>
  <si>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</si>
  <si>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</si>
  <si>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</si>
  <si>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</si>
  <si>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</si>
  <si>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</si>
  <si>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</si>
  <si>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</si>
  <si>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</si>
  <si>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</si>
  <si>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</si>
  <si>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</si>
  <si>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</si>
  <si>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</si>
  <si>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</si>
  <si>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</si>
  <si>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</si>
  <si>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</si>
  <si>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</si>
  <si>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</si>
  <si>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</si>
  <si>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</si>
  <si>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</si>
  <si>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</si>
  <si>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</si>
  <si>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</si>
  <si>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</si>
  <si>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</si>
  <si>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</si>
  <si>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</si>
  <si>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</si>
  <si>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</si>
  <si>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</si>
  <si>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</si>
  <si>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</si>
  <si>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</si>
  <si>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</si>
  <si>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</si>
  <si>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</si>
  <si>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</si>
  <si>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</si>
  <si>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</si>
  <si>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</si>
  <si>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</si>
  <si>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</si>
  <si>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</si>
  <si>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</si>
  <si>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</si>
  <si>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</si>
  <si>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</si>
  <si>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</si>
  <si>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</si>
  <si>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</si>
  <si>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</si>
  <si>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</si>
  <si>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</si>
  <si>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</si>
  <si>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</si>
  <si>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</si>
  <si>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</si>
  <si>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</si>
  <si>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</si>
  <si>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</si>
  <si>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</si>
  <si>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</si>
  <si>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</si>
  <si>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</si>
  <si>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</si>
  <si>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</si>
  <si>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</si>
  <si>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</si>
  <si>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</si>
  <si>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</si>
  <si>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</si>
  <si>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</si>
  <si>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</si>
  <si>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</si>
  <si>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</si>
  <si>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</si>
  <si>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</si>
  <si>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</si>
  <si>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</si>
  <si>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ΕΛΕΓΧΟΣ ΟΡΘΟΤΗΤΑΣ: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</si>
  <si>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</si>
  <si>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</si>
  <si>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</si>
  <si>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</si>
  <si>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</si>
  <si>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</si>
  <si>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</si>
  <si>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</si>
  <si>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</si>
  <si>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</si>
  <si>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</si>
  <si>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</si>
  <si>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</si>
  <si>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</si>
  <si>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</si>
  <si>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</si>
  <si>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</si>
  <si>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</si>
  <si>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</si>
  <si>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</si>
  <si>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</si>
  <si>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</si>
  <si>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</si>
  <si>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</si>
  <si>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</si>
  <si>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</si>
  <si>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</si>
  <si>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</si>
  <si>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</si>
  <si>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</si>
  <si>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</si>
  <si>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</si>
  <si>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</si>
  <si>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</si>
  <si>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</si>
  <si>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</si>
  <si>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</si>
  <si>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</si>
  <si>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</si>
  <si>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</si>
  <si>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</si>
  <si>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</si>
  <si>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</si>
  <si>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</si>
  <si>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</si>
  <si>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</si>
  <si>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</si>
  <si>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</si>
  <si>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</si>
  <si>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</si>
  <si>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</si>
  <si>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</si>
  <si>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</si>
  <si>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</si>
  <si>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</si>
  <si>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</si>
  <si>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</si>
  <si>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</si>
  <si>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</si>
  <si>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</si>
  <si>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</si>
  <si>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</si>
  <si>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Άλλος τύπος συσκευής
</t>
    </r>
    <r>
      <rPr>
        <b/>
        <sz val="9"/>
        <color indexed="60"/>
        <rFont val="Calibri"/>
        <family val="2"/>
        <charset val="161"/>
      </rPr>
      <t>(συμπληρώνεται μόνο όταν στις «Τερματικές συσκευές» επιλεγεί «Άλλο»)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</si>
  <si>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</si>
  <si>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</si>
  <si>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</si>
  <si>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</si>
  <si>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</si>
  <si>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</si>
  <si>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</si>
  <si>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</si>
  <si>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</si>
  <si>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</si>
  <si>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</si>
  <si>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</si>
  <si>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</si>
  <si>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</si>
  <si>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r>
      <t xml:space="preserve">Διάταξη αναφοράς
</t>
    </r>
    <r>
      <rPr>
        <b/>
        <sz val="9"/>
        <color indexed="60"/>
        <rFont val="Calibri"/>
        <family val="2"/>
        <charset val="161"/>
      </rPr>
      <t>(Αν γίνουν μετρήσεις και για διαφορετικό πακέτο να επιλεγεί "2")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</si>
  <si>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</si>
  <si>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</si>
  <si>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</si>
  <si>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</si>
  <si>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</si>
  <si>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</si>
  <si>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</si>
  <si>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</si>
  <si>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</si>
  <si>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</si>
  <si>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</si>
  <si>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</si>
  <si>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</si>
  <si>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</si>
  <si>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</si>
  <si>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</si>
  <si>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</si>
  <si>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</si>
  <si>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</si>
  <si>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</si>
  <si>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</si>
  <si>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</si>
  <si>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</si>
  <si>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</si>
  <si>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</si>
  <si>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</si>
  <si>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</si>
  <si>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</si>
  <si>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</si>
  <si>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</si>
  <si>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</si>
  <si>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</si>
  <si>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</si>
  <si>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</si>
  <si>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</si>
  <si>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</si>
  <si>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</si>
  <si>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</si>
  <si>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</si>
  <si>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</si>
  <si>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</si>
  <si>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</si>
  <si>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</si>
  <si>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</si>
  <si>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</si>
  <si>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</si>
  <si>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</si>
  <si>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</si>
  <si>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</si>
  <si>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</si>
  <si>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</si>
  <si>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</si>
  <si>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</si>
  <si>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</si>
  <si>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</si>
  <si>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</si>
  <si>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</si>
  <si>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</si>
  <si>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</si>
  <si>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</si>
  <si>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</si>
  <si>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</si>
  <si>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</si>
  <si>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</si>
  <si>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</si>
  <si>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</si>
  <si>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</si>
  <si>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</si>
  <si>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</si>
  <si>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</si>
  <si>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</si>
  <si>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</si>
  <si>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</si>
  <si>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</si>
  <si>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</si>
  <si>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</si>
  <si>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</si>
  <si>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</si>
  <si>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</si>
  <si>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</si>
  <si>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</si>
  <si>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</si>
  <si>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</si>
  <si>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</si>
  <si>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</si>
  <si>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</si>
  <si>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</si>
  <si>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</si>
  <si>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</si>
  <si>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</si>
  <si>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</si>
  <si>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</si>
  <si>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</si>
  <si>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</si>
  <si>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</si>
  <si>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</si>
  <si>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</si>
  <si>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</si>
  <si>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</si>
  <si>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</si>
  <si>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</si>
  <si>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</si>
  <si>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</si>
  <si>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</si>
  <si>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</si>
  <si>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</si>
  <si>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</si>
  <si>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</si>
  <si>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</si>
  <si>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</si>
  <si>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</si>
  <si>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</si>
  <si>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</si>
  <si>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</si>
  <si>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</si>
  <si>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</si>
  <si>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</si>
  <si>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</si>
  <si>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</si>
  <si>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</si>
  <si>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</si>
  <si>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</si>
  <si>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</si>
  <si>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</si>
  <si>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</si>
  <si>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</si>
  <si>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</si>
  <si>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</si>
  <si>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</si>
  <si>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</si>
  <si>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</si>
  <si>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</si>
  <si>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</si>
  <si>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</si>
  <si>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</si>
  <si>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</si>
  <si>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</si>
  <si>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</si>
  <si>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</si>
  <si>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</si>
  <si>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</si>
  <si>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</si>
  <si>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</si>
  <si>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</si>
  <si>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</si>
  <si>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</si>
  <si>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</si>
  <si>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</si>
  <si>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</si>
  <si>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</si>
  <si>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</si>
  <si>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</si>
  <si>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</si>
  <si>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</si>
  <si>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</si>
  <si>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</si>
  <si>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</si>
  <si>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</si>
  <si>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</si>
  <si>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</si>
  <si>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</si>
  <si>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</si>
  <si>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</si>
  <si>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</si>
  <si>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</si>
  <si>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</si>
  <si>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</si>
  <si>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</si>
  <si>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</si>
  <si>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</si>
  <si>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</si>
  <si>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</si>
  <si>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</si>
  <si>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</si>
  <si>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</si>
  <si>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</si>
  <si>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</si>
  <si>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</si>
  <si>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</si>
  <si>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</si>
  <si>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</si>
  <si>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</si>
  <si>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</si>
  <si>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</si>
  <si>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</si>
  <si>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</si>
  <si>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</si>
  <si>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</si>
  <si>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</si>
  <si>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</si>
  <si>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</si>
  <si>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</si>
  <si>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</si>
  <si>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</si>
  <si>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</si>
  <si>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</si>
  <si>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</si>
  <si>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</si>
  <si>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</si>
  <si>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</si>
  <si>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</si>
  <si>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</si>
  <si>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</si>
  <si>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</si>
  <si>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</si>
  <si>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</si>
  <si>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</si>
  <si>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</si>
  <si>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</si>
  <si>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</si>
  <si>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</si>
  <si>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</si>
  <si>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</si>
  <si>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</si>
  <si>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</si>
  <si>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</si>
  <si>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</si>
  <si>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</si>
  <si>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</si>
  <si>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</si>
  <si>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</si>
  <si>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</si>
  <si>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</si>
  <si>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</si>
  <si>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</si>
  <si>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</si>
  <si>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</si>
  <si>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</si>
  <si>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</si>
  <si>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</si>
  <si>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</si>
  <si>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</si>
  <si>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</si>
  <si>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</si>
  <si>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</si>
  <si>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</si>
  <si>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</si>
  <si>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</si>
  <si>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</si>
  <si>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</si>
  <si>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</si>
  <si>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</si>
  <si>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</si>
  <si>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</si>
  <si>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</si>
  <si>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</si>
  <si>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</si>
  <si>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</si>
  <si>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</si>
  <si>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</si>
  <si>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</si>
  <si>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</si>
  <si>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</si>
  <si>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</si>
  <si>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</si>
  <si>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</si>
  <si>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</si>
  <si>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</si>
  <si>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</si>
  <si>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</si>
  <si>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</si>
  <si>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</si>
  <si>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</si>
  <si>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</si>
  <si>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</si>
  <si>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</si>
  <si>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</si>
  <si>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</si>
  <si>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</si>
  <si>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</si>
  <si>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</si>
  <si>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</si>
  <si>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</si>
  <si>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</si>
  <si>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</si>
  <si>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</si>
  <si>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</si>
  <si>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</si>
  <si>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</si>
  <si>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</si>
  <si>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</si>
  <si>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</si>
  <si>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</si>
  <si>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</si>
  <si>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</si>
  <si>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</si>
  <si>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</si>
  <si>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</si>
  <si>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</si>
  <si>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</si>
  <si>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</si>
  <si>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</si>
  <si>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</si>
  <si>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</si>
  <si>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</si>
  <si>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</si>
  <si>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</si>
  <si>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</si>
  <si>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</si>
  <si>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</si>
  <si>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</si>
  <si>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</si>
  <si>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</si>
  <si>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</si>
  <si>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</si>
  <si>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</si>
  <si>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</si>
  <si>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</si>
  <si>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</si>
  <si>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</si>
  <si>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</si>
  <si>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</si>
  <si>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</si>
  <si>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</si>
  <si>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</si>
  <si>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</si>
  <si>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</si>
  <si>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</si>
  <si>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</si>
  <si>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</si>
  <si>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</si>
  <si>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</si>
  <si>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</si>
  <si>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</si>
  <si>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</si>
  <si>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</si>
  <si>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</si>
  <si>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</si>
  <si>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</si>
  <si>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</si>
  <si>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</si>
  <si>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</si>
  <si>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</si>
  <si>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</si>
  <si>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</si>
  <si>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</si>
  <si>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</si>
  <si>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</si>
  <si>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</si>
  <si>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(αποκατάστασης υπόλοιπων βλαβών γραμμής πρόσβασης) του 50% των ταχύτερα αποκατεστημένων βλαβών γραμμής πρόσβασης δεν μπορεί να είναι μεγαλύτερος του αντίστοιχου χρόνου για το 95%</t>
  </si>
  <si>
    <t>WIND</t>
  </si>
  <si>
    <t/>
  </si>
  <si>
    <t>N/A</t>
  </si>
  <si>
    <t>totalareas</t>
  </si>
  <si>
    <t>FaultSubmissionInfo</t>
  </si>
  <si>
    <t>OTE</t>
  </si>
  <si>
    <t>VODAFONE</t>
  </si>
  <si>
    <t>Τελευταία έκδοση Excel: 5/6/2020</t>
  </si>
  <si>
    <t>22.99</t>
  </si>
  <si>
    <t>ΚΕΝΤΡΙΚΗΣ ΜΑΚΕΔΟΝΙΑΣ - ΠΑΥΛΟΥ ΜΕΛΑ</t>
  </si>
  <si>
    <t>ΘΕΣΣΑΛΙΑΣ - ΛΑΡΙΣΑΙΩΝ</t>
  </si>
  <si>
    <t>ΔΥΤΙΚΗΣ ΕΛΛΑΔΑΣ - ΠΑΤΡΕΩΝ</t>
  </si>
  <si>
    <t>ΚΕΝΤΡΙΚΗΣ ΜΑΚΕΔΟΝΙΑΣ - ΒΕΡΟΙΑΣ</t>
  </si>
  <si>
    <t>Μετρήσεις πραγματοποιήθηκαν από 1/7/2021 και για έξι μήνες</t>
  </si>
  <si>
    <t>ΑΤΤΙΚΗΣ - ΚΗΦΙΣΙΑΣ</t>
  </si>
  <si>
    <t>ΑΤΤΙΚΗΣ - ΑΘΗΝΑΙΩΝ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</si>
</sst>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0" fillId="0" borderId="15" xfId="0" applyFill="1" applyBorder="1" applyAlignment="1">
      <alignment horizontal="left" vertical="top"/>
    </xf>
    <xf numFmtId="1" fontId="0" fillId="3" borderId="19" xfId="0" applyNumberForma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5" fillId="3" borderId="16" xfId="0" applyFont="1" applyFill="1" applyBorder="1" applyAlignment="1" applyProtection="1">
      <alignment horizontal="center" vertical="top"/>
    </xf>
    <xf numFmtId="0" fontId="5" fillId="3" borderId="17" xfId="0" applyFont="1" applyFill="1" applyBorder="1" applyAlignment="1" applyProtection="1">
      <alignment horizontal="center" vertical="top"/>
    </xf>
    <xf numFmtId="2" fontId="5" fillId="3" borderId="0" xfId="0" applyNumberFormat="1" applyFont="1" applyFill="1" applyBorder="1" applyAlignment="1" applyProtection="1">
      <alignment horizontal="left" vertical="top" wrapText="1"/>
    </xf>
    <xf numFmtId="2" fontId="5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9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0" borderId="31" xfId="0" applyBorder="1"/>
    <xf numFmtId="0" fontId="5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5" fillId="3" borderId="29" xfId="0" applyFont="1" applyFill="1" applyBorder="1" applyAlignment="1">
      <alignment horizontal="center" vertical="top"/>
    </xf>
    <xf numFmtId="0" fontId="5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0" fontId="0" fillId="3" borderId="15" xfId="0" applyFill="1" applyBorder="1" applyAlignment="1" applyProtection="1">
      <alignment horizontal="left" vertical="top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5" fillId="3" borderId="31" xfId="0" applyNumberFormat="1" applyFont="1" applyFill="1" applyBorder="1" applyAlignment="1" applyProtection="1">
      <alignment horizontal="center" vertical="center" wrapText="1"/>
    </xf>
    <xf numFmtId="2" fontId="5" fillId="3" borderId="22" xfId="0" applyNumberFormat="1" applyFont="1" applyFill="1" applyBorder="1" applyAlignment="1" applyProtection="1">
      <alignment horizontal="center" vertical="center" wrapText="1"/>
    </xf>
    <xf numFmtId="2" fontId="5" fillId="3" borderId="4" xfId="0" applyNumberFormat="1" applyFont="1" applyFill="1" applyBorder="1" applyAlignment="1" applyProtection="1">
      <alignment horizontal="center" vertical="center" wrapText="1"/>
    </xf>
    <xf numFmtId="2" fontId="5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7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8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5" fillId="3" borderId="48" xfId="0" applyNumberFormat="1" applyFont="1" applyFill="1" applyBorder="1" applyAlignment="1">
      <alignment wrapText="1"/>
    </xf>
    <xf numFmtId="2" fontId="5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5" fillId="3" borderId="0" xfId="0" applyNumberFormat="1" applyFont="1" applyFill="1" applyBorder="1" applyAlignment="1" applyProtection="1">
      <alignment wrapText="1"/>
    </xf>
    <xf numFmtId="2" fontId="5" fillId="3" borderId="48" xfId="0" applyNumberFormat="1" applyFont="1" applyFill="1" applyBorder="1" applyAlignment="1" applyProtection="1">
      <alignment wrapText="1"/>
    </xf>
    <xf numFmtId="2" fontId="5" fillId="3" borderId="18" xfId="0" applyNumberFormat="1" applyFont="1" applyFill="1" applyBorder="1" applyAlignment="1" applyProtection="1">
      <alignment wrapText="1"/>
    </xf>
    <xf numFmtId="2" fontId="5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5" fillId="3" borderId="0" xfId="0" applyNumberFormat="1" applyFont="1" applyFill="1" applyBorder="1" applyAlignment="1">
      <alignment wrapText="1"/>
    </xf>
    <xf numFmtId="0" fontId="5" fillId="3" borderId="48" xfId="0" applyNumberFormat="1" applyFont="1" applyFill="1" applyBorder="1" applyAlignment="1">
      <alignment wrapText="1"/>
    </xf>
    <xf numFmtId="0" fontId="5" fillId="3" borderId="18" xfId="0" applyNumberFormat="1" applyFont="1" applyFill="1" applyBorder="1" applyAlignment="1">
      <alignment wrapText="1"/>
    </xf>
    <xf numFmtId="0" fontId="5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5" fillId="3" borderId="52" xfId="0" applyNumberFormat="1" applyFont="1" applyFill="1" applyBorder="1" applyAlignment="1">
      <alignment wrapText="1"/>
    </xf>
    <xf numFmtId="0" fontId="5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7" fillId="0" borderId="0" xfId="0" applyFont="1" applyFill="1"/>
    <xf numFmtId="0" fontId="7" fillId="0" borderId="0" xfId="0" applyFont="1" applyFill="1" applyBorder="1"/>
    <xf numFmtId="4" fontId="0" fillId="3" borderId="39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2" fontId="0" fillId="0" borderId="32" xfId="0" quotePrefix="1" applyNumberFormat="1" applyFill="1" applyBorder="1" applyAlignment="1" applyProtection="1">
      <alignment horizontal="left" vertical="top" wrapText="1"/>
      <protection locked="0"/>
    </xf>
    <xf numFmtId="0" fontId="0" fillId="0" borderId="4" xfId="0" quotePrefix="1" applyFont="1" applyFill="1" applyBorder="1" applyAlignment="1">
      <alignment horizontal="left" vertical="top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19" xfId="0" quotePrefix="1" applyBorder="1" applyAlignment="1" applyProtection="1">
      <alignment horizontal="left" vertical="top"/>
      <protection locked="0"/>
    </xf>
    <xf numFmtId="0" fontId="0" fillId="0" borderId="42" xfId="0" quotePrefix="1" applyBorder="1" applyAlignment="1" applyProtection="1">
      <alignment horizontal="left" vertical="top"/>
      <protection locked="0"/>
    </xf>
    <xf numFmtId="0" fontId="0" fillId="3" borderId="42" xfId="0" quotePrefix="1" applyFill="1" applyBorder="1" applyAlignment="1">
      <alignment horizontal="left" vertical="top"/>
    </xf>
    <xf numFmtId="0" fontId="0" fillId="3" borderId="37" xfId="0" quotePrefix="1" applyFill="1" applyBorder="1" applyAlignment="1">
      <alignment horizontal="left" vertical="top"/>
    </xf>
    <xf numFmtId="2" fontId="0" fillId="0" borderId="26" xfId="0" quotePrefix="1" applyNumberFormat="1" applyFill="1" applyBorder="1" applyAlignment="1" applyProtection="1">
      <alignment horizontal="left" vertical="top" wrapText="1"/>
      <protection locked="0"/>
    </xf>
    <xf numFmtId="4" fontId="0" fillId="3" borderId="19" xfId="0" applyNumberForma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0" fillId="0" borderId="26" xfId="0" quotePrefix="1" applyNumberFormat="1" applyFill="1" applyBorder="1" applyAlignment="1" applyProtection="1">
      <alignment horizontal="left" vertical="top" wrapText="1"/>
      <protection locked="0"/>
    </xf>
    <xf numFmtId="2" fontId="0" fillId="0" borderId="4" xfId="0" quotePrefix="1" applyNumberFormat="1" applyFill="1" applyBorder="1" applyAlignment="1" applyProtection="1">
      <alignment horizontal="left" vertical="top" wrapText="1"/>
      <protection locked="0"/>
    </xf>
    <xf numFmtId="2" fontId="0" fillId="0" borderId="19" xfId="0" quotePrefix="1" applyNumberFormat="1" applyFill="1" applyBorder="1" applyAlignment="1" applyProtection="1">
      <alignment horizontal="left" vertical="top" wrapText="1"/>
      <protection locked="0"/>
    </xf>
    <xf numFmtId="0" fontId="0" fillId="0" borderId="4" xfId="0" quotePrefix="1" applyNumberFormat="1" applyFill="1" applyBorder="1" applyAlignment="1" applyProtection="1">
      <alignment horizontal="left" vertical="top" wrapText="1"/>
      <protection locked="0"/>
    </xf>
    <xf numFmtId="3" fontId="0" fillId="3" borderId="4" xfId="0" applyNumberFormat="1" applyFill="1" applyBorder="1" applyAlignment="1" applyProtection="1">
      <alignment horizontal="left" vertical="top" wrapText="1"/>
      <protection locked="0"/>
    </xf>
    <xf numFmtId="0" fontId="0" fillId="0" borderId="19" xfId="0" quotePrefix="1" applyNumberFormat="1" applyFill="1" applyBorder="1" applyAlignment="1" applyProtection="1">
      <alignment horizontal="left" vertical="top" wrapText="1"/>
      <protection locked="0"/>
    </xf>
    <xf numFmtId="2" fontId="0" fillId="0" borderId="45" xfId="0" applyNumberFormat="1" applyFill="1" applyBorder="1" applyAlignment="1" applyProtection="1">
      <alignment horizontal="left" vertical="top" wrapText="1"/>
      <protection locked="0"/>
    </xf>
    <xf numFmtId="2" fontId="0" fillId="0" borderId="53" xfId="0" applyNumberFormat="1" applyFill="1" applyBorder="1" applyAlignment="1" applyProtection="1">
      <alignment horizontal="left" vertical="top" wrapText="1"/>
      <protection locked="0"/>
    </xf>
    <xf numFmtId="2" fontId="0" fillId="0" borderId="40" xfId="0" applyNumberFormat="1" applyFill="1" applyBorder="1" applyAlignment="1" applyProtection="1">
      <alignment horizontal="left" vertical="top" wrapText="1"/>
      <protection locked="0"/>
    </xf>
    <xf numFmtId="0" fontId="3" fillId="2" borderId="54" xfId="0" applyFont="1" applyFill="1" applyBorder="1" applyAlignment="1" applyProtection="1">
      <alignment vertical="top" wrapText="1"/>
    </xf>
    <xf numFmtId="0" fontId="0" fillId="3" borderId="15" xfId="0" applyFill="1" applyBorder="1" applyAlignment="1" applyProtection="1">
      <alignment horizontal="left"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0" fontId="0" fillId="5" borderId="0" xfId="0" applyFill="1"/>
    <xf numFmtId="0" fontId="9" fillId="5" borderId="0" xfId="0" applyFont="1" applyFill="1" applyProtection="1">
      <protection locked="0"/>
    </xf>
  </cellXfs>
  <cellStyles count="1">
    <cellStyle name="Κανονικό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009900"/>
      </font>
      <fill>
        <patternFill>
          <bgColor rgb="FFC8FFC8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rgb="FFFFC8C8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8C8"/>
      <color rgb="FFC8FFC8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22"/>
  <sheetViews>
    <sheetView tabSelected="1" workbookViewId="0">
      <selection activeCell="C22" sqref="C22"/>
    </sheetView>
  </sheetViews>
  <sheetFormatPr defaultColWidth="0" defaultRowHeight="14.4" zeroHeight="1" x14ac:dyDescent="0.3"/>
  <cols>
    <col min="1" max="1" width="41" style="124" customWidth="1"/>
    <col min="2" max="2" width="17.88671875" style="124" customWidth="1"/>
    <col min="3" max="3" width="58.6640625" style="124" customWidth="1"/>
    <col min="4" max="4" width="84.109375" style="124" hidden="1" customWidth="1"/>
    <col min="5" max="16384" width="9.109375" style="124" hidden="1"/>
  </cols>
  <sheetData>
    <row r="1" spans="1:3" x14ac:dyDescent="0.3">
      <c r="A1" s="170"/>
      <c r="B1" s="170"/>
      <c r="C1" s="10" t="s">
        <v>27</v>
      </c>
    </row>
    <row r="2" spans="1:3" ht="22.5" customHeight="1" x14ac:dyDescent="0.3">
      <c r="A2" s="10" t="s">
        <v>27</v>
      </c>
      <c r="B2" s="10"/>
      <c r="C2" s="60" t="s">
        <v>877</v>
      </c>
    </row>
    <row r="3" spans="1:3" ht="22.5" customHeight="1" x14ac:dyDescent="0.3">
      <c r="A3" s="10" t="s">
        <v>526</v>
      </c>
      <c r="B3" s="10"/>
      <c r="C3" s="60"/>
    </row>
    <row r="4" spans="1:3" ht="22.5" hidden="1" customHeight="1" x14ac:dyDescent="0.3">
      <c r="A4" s="10" t="s">
        <v>27</v>
      </c>
      <c r="B4" s="10"/>
      <c r="C4" s="112" t="str">
        <f>IF(C2="",TEXT(C3,),C2)</f>
        <v>VODAFONE</v>
      </c>
    </row>
    <row r="5" spans="1:3" ht="22.5" customHeight="1" x14ac:dyDescent="0.3">
      <c r="A5" s="10" t="s">
        <v>0</v>
      </c>
      <c r="B5" s="10"/>
      <c r="C5" s="60" t="s">
        <v>2</v>
      </c>
    </row>
    <row r="6" spans="1:3" ht="22.5" customHeight="1" x14ac:dyDescent="0.3">
      <c r="A6" s="10" t="s">
        <v>1</v>
      </c>
      <c r="B6" s="10"/>
      <c r="C6" s="61">
        <v>2021</v>
      </c>
    </row>
    <row r="7" spans="1:3" ht="22.5" customHeight="1" x14ac:dyDescent="0.3">
      <c r="A7" s="10" t="s">
        <v>445</v>
      </c>
      <c r="B7" s="10"/>
      <c r="C7" s="62">
        <v>44378</v>
      </c>
    </row>
    <row r="8" spans="1:3" ht="22.5" customHeight="1" x14ac:dyDescent="0.3">
      <c r="A8" s="10" t="s">
        <v>446</v>
      </c>
      <c r="B8" s="10"/>
      <c r="C8" s="62">
        <v>44561</v>
      </c>
    </row>
    <row r="9" spans="1:3" ht="67.5" customHeight="1" x14ac:dyDescent="0.3">
      <c r="A9" s="10" t="s">
        <v>443</v>
      </c>
      <c r="B9" s="10"/>
      <c r="C9" s="45" t="str">
        <f>IF(LEN(ΠΕΡΙΦΕΡΕΙΑ!C15)&gt;2,LEFT(ΠΕΡΙΦΕΡΕΙΑ!C15,LEN(ΠΕΡΙΦΕΡΕΙΑ!C15)-2),"")</f>
        <v/>
      </c>
    </row>
    <row r="10" spans="1:3" ht="67.5" customHeight="1" x14ac:dyDescent="0.3">
      <c r="A10" s="10" t="s">
        <v>444</v>
      </c>
      <c r="B10" s="10"/>
      <c r="C10" s="113" t="str">
        <f>IF(LEN(ΔΗΜΟΣ!O326)&gt;2,LEFT(ΔΗΜΟΣ!O326,LEN(ΔΗΜΟΣ!O326)-2),"")</f>
        <v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ΣΤΕΡΕΑΣ ΕΛΛΑΔΑΣ - ΧΑΛΚΙΔΕΩΝ</v>
      </c>
    </row>
    <row r="11" spans="1:3" ht="67.5" customHeight="1" x14ac:dyDescent="0.3">
      <c r="A11" s="10" t="s">
        <v>419</v>
      </c>
      <c r="B11" s="10"/>
      <c r="C11" s="63"/>
    </row>
    <row r="12" spans="1:3" x14ac:dyDescent="0.3"/>
    <row r="13" spans="1:3" ht="15" thickBot="1" x14ac:dyDescent="0.35"/>
    <row r="14" spans="1:3" ht="31.5" customHeight="1" thickBot="1" x14ac:dyDescent="0.35">
      <c r="A14" s="22" t="s">
        <v>452</v>
      </c>
      <c r="B14" s="36"/>
      <c r="C14" s="12" t="str">
        <f>IF(OR(C5="",C2="",C6="",C7="",C8=""),"ΥΠΑΡΧΟΥΝ ΛΑΘΗ","ΤΑ ΣΤΟΙΧΕΙΑ ΕΊΝΑΙ ΟΡΘΑ")</f>
        <v>ΤΑ ΣΤΟΙΧΕΙΑ ΕΊΝΑΙ ΟΡΘΑ</v>
      </c>
    </row>
    <row r="15" spans="1:3" ht="31.5" customHeight="1" thickBot="1" x14ac:dyDescent="0.35">
      <c r="A15" s="33"/>
      <c r="B15" s="34" t="s">
        <v>463</v>
      </c>
      <c r="C15" s="35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0 ΣΦΑΛΜΑΤΑ</v>
      </c>
    </row>
    <row r="16" spans="1:3" ht="18.600000000000001" thickBot="1" x14ac:dyDescent="0.35">
      <c r="A16" s="22" t="s">
        <v>464</v>
      </c>
      <c r="B16" s="64" t="s">
        <v>417</v>
      </c>
      <c r="C16" s="12" t="str">
        <f>IF(OR(B16="ΟΧΙ",COUNTIF('F01'!L:L,"ΣΦΑΛΜΑ")=0),"","ΥΠΑΡΧΟΥΝ ΛΑΘΗ")</f>
        <v/>
      </c>
    </row>
    <row r="17" spans="1:3" ht="18.600000000000001" thickBot="1" x14ac:dyDescent="0.35">
      <c r="A17" s="22" t="s">
        <v>465</v>
      </c>
      <c r="B17" s="64" t="s">
        <v>417</v>
      </c>
      <c r="C17" s="12" t="str">
        <f>IF(OR(B17="ΟΧΙ",COUNTIF('F02'!J:J,"ΣΦΑΛΜΑ")=0),"","ΥΠΑΡΧΟΥΝ ΛΑΘΗ")</f>
        <v/>
      </c>
    </row>
    <row r="18" spans="1:3" ht="18.600000000000001" thickBot="1" x14ac:dyDescent="0.35">
      <c r="A18" s="22" t="s">
        <v>466</v>
      </c>
      <c r="B18" s="64" t="s">
        <v>417</v>
      </c>
      <c r="C18" s="12" t="str">
        <f>IF(OR(B18="ΟΧΙ",COUNTIF('F03'!O:O,"ΣΦΑΛΜΑ")=0),"","ΥΠΑΡΧΟΥΝ ΛΑΘΗ")</f>
        <v/>
      </c>
    </row>
    <row r="19" spans="1:3" ht="18.600000000000001" thickBot="1" x14ac:dyDescent="0.35">
      <c r="A19" s="22" t="s">
        <v>467</v>
      </c>
      <c r="B19" s="64" t="s">
        <v>417</v>
      </c>
      <c r="C19" s="12" t="str">
        <f>IF(OR(B19="ΟΧΙ",COUNTIF('F04'!R:R,"ΣΦΑΛΜΑ")=0),"","ΥΠΑΡΧΟΥΝ ΛΑΘΗ")</f>
        <v/>
      </c>
    </row>
    <row r="20" spans="1:3" ht="18.600000000000001" thickBot="1" x14ac:dyDescent="0.35">
      <c r="A20" s="22" t="s">
        <v>468</v>
      </c>
      <c r="B20" s="64" t="s">
        <v>417</v>
      </c>
      <c r="C20" s="12" t="str">
        <f>IF(OR(B20="ΟΧΙ",COUNTIF('F05'!N:N,"ΣΦΑΛΜΑ")=0),"","ΥΠΑΡΧΟΥΝ ΛΑΘΗ")</f>
        <v/>
      </c>
    </row>
    <row r="21" spans="1:3" ht="18.600000000000001" thickBot="1" x14ac:dyDescent="0.35">
      <c r="A21" s="22" t="s">
        <v>469</v>
      </c>
      <c r="B21" s="64" t="s">
        <v>417</v>
      </c>
      <c r="C21" s="12" t="str">
        <f>IF(OR(B21="ΟΧΙ",COUNTIF('F06'!R:R,"ΣΦΑΛΜΑ")=0),"","ΥΠΑΡΧΟΥΝ ΛΑΘΗ")</f>
        <v/>
      </c>
    </row>
    <row r="22" spans="1:3" x14ac:dyDescent="0.3">
      <c r="A22" s="200" t="s">
        <v>878</v>
      </c>
      <c r="B22" s="199"/>
      <c r="C22" s="199"/>
    </row>
  </sheetData>
  <sheetProtection algorithmName="SHA-512" hashValue="YZEr0Vh4Vcl1E+XsUTJurLLGK2S+bbRJjZ7vqVbWdhB4RQFmwtPQCh965X877+TEQNcnkkYpA2+1u2U9Kb2cfw==" saltValue="4XsvzFwBL23+/N1MSKRiCw==" spinCount="100000" sheet="1" objects="1" scenarios="1"/>
  <conditionalFormatting sqref="C14">
    <cfRule type="cellIs" dxfId="29" priority="25" operator="equal">
      <formula>"ΤΑ ΣΤΟΙΧΕΙΑ ΕΊΝΑΙ ΟΡΘΑ"</formula>
    </cfRule>
    <cfRule type="cellIs" dxfId="28" priority="26" operator="equal">
      <formula>"ΥΠΑΡΧΟΥΝ ΛΑΘΗ"</formula>
    </cfRule>
  </conditionalFormatting>
  <conditionalFormatting sqref="C15">
    <cfRule type="cellIs" dxfId="27" priority="23" operator="equal">
      <formula>"ΤΑ ΣΤΟΙΧΕΙΑ ΕΙΝΑΙ ΟΡΘΑ"</formula>
    </cfRule>
    <cfRule type="cellIs" dxfId="26" priority="24" operator="equal">
      <formula>"ΥΠΑΡΧΟΥΝ ΛΑΘΗ"</formula>
    </cfRule>
  </conditionalFormatting>
  <conditionalFormatting sqref="C16">
    <cfRule type="cellIs" dxfId="25" priority="21" operator="equal">
      <formula>"ΤΑ ΣΤΟΙΧΕΙΑ ΕΙΝΑΙ ΟΡΘΑ"</formula>
    </cfRule>
    <cfRule type="cellIs" dxfId="24" priority="22" operator="equal">
      <formula>"ΥΠΑΡΧΟΥΝ ΛΑΘΗ"</formula>
    </cfRule>
  </conditionalFormatting>
  <conditionalFormatting sqref="C17">
    <cfRule type="cellIs" dxfId="23" priority="19" operator="equal">
      <formula>"ΤΑ ΣΤΟΙΧΕΙΑ ΕΙΝΑΙ ΟΡΘΑ"</formula>
    </cfRule>
    <cfRule type="cellIs" dxfId="22" priority="20" operator="equal">
      <formula>"ΥΠΑΡΧΟΥΝ ΛΑΘΗ"</formula>
    </cfRule>
  </conditionalFormatting>
  <conditionalFormatting sqref="C18">
    <cfRule type="cellIs" dxfId="21" priority="17" operator="equal">
      <formula>"ΤΑ ΣΤΟΙΧΕΙΑ ΕΙΝΑΙ ΟΡΘΑ"</formula>
    </cfRule>
    <cfRule type="cellIs" dxfId="20" priority="18" operator="equal">
      <formula>"ΥΠΑΡΧΟΥΝ ΛΑΘΗ"</formula>
    </cfRule>
  </conditionalFormatting>
  <conditionalFormatting sqref="C19">
    <cfRule type="cellIs" dxfId="19" priority="5" operator="equal">
      <formula>"ΤΑ ΣΤΟΙΧΕΙΑ ΕΙΝΑΙ ΟΡΘΑ"</formula>
    </cfRule>
    <cfRule type="cellIs" dxfId="18" priority="6" operator="equal">
      <formula>"ΥΠΑΡΧΟΥΝ ΛΑΘΗ"</formula>
    </cfRule>
  </conditionalFormatting>
  <conditionalFormatting sqref="C20">
    <cfRule type="cellIs" dxfId="17" priority="3" operator="equal">
      <formula>"ΤΑ ΣΤΟΙΧΕΙΑ ΕΙΝΑΙ ΟΡΘΑ"</formula>
    </cfRule>
    <cfRule type="cellIs" dxfId="16" priority="4" operator="equal">
      <formula>"ΥΠΑΡΧΟΥΝ ΛΑΘΗ"</formula>
    </cfRule>
  </conditionalFormatting>
  <conditionalFormatting sqref="C21">
    <cfRule type="cellIs" dxfId="15" priority="1" operator="equal">
      <formula>"ΤΑ ΣΤΟΙΧΕΙΑ ΕΙΝΑΙ ΟΡΘΑ"</formula>
    </cfRule>
    <cfRule type="cellIs" dxfId="14" priority="2" operator="equal">
      <formula>"ΥΠΑΡΧΟΥΝ ΛΑΘΗ"</formula>
    </cfRule>
  </conditionalFormatting>
  <dataValidations count="4">
    <dataValidation type="list" allowBlank="1" showInputMessage="1" showErrorMessage="1" sqref="C2" xr:uid="{00000000-0002-0000-0000-000000000000}">
      <formula1>Operators.</formula1>
    </dataValidation>
    <dataValidation type="list" allowBlank="1" showInputMessage="1" showErrorMessage="1" sqref="C5" xr:uid="{00000000-0002-0000-0000-000001000000}">
      <formula1>Semester</formula1>
    </dataValidation>
    <dataValidation type="whole" allowBlank="1" showInputMessage="1" showErrorMessage="1" sqref="C6" xr:uid="{00000000-0002-0000-0000-000002000000}">
      <formula1>1990</formula1>
      <formula2>2030</formula2>
    </dataValidation>
    <dataValidation type="list" allowBlank="1" showInputMessage="1" showErrorMessage="1" sqref="B16:B21" xr:uid="{00000000-0002-0000-0000-000003000000}">
      <formula1>KPI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Y30"/>
  <sheetViews>
    <sheetView topLeftCell="E2" zoomScaleNormal="100" workbookViewId="0">
      <selection activeCell="I20" sqref="I20"/>
    </sheetView>
  </sheetViews>
  <sheetFormatPr defaultColWidth="0" defaultRowHeight="14.4" zeroHeight="1" x14ac:dyDescent="0.3"/>
  <cols>
    <col min="1" max="1" width="50" style="124" customWidth="1"/>
    <col min="2" max="4" width="23" style="124" hidden="1" customWidth="1"/>
    <col min="5" max="5" width="38.109375" style="124" customWidth="1"/>
    <col min="6" max="6" width="27.33203125" style="124" customWidth="1"/>
    <col min="7" max="7" width="26.109375" style="124" customWidth="1"/>
    <col min="8" max="8" width="28.33203125" style="124" hidden="1" customWidth="1"/>
    <col min="9" max="9" width="36.33203125" style="124" customWidth="1"/>
    <col min="10" max="10" width="28.33203125" style="124" hidden="1" customWidth="1"/>
    <col min="11" max="11" width="14.6640625" style="124" customWidth="1"/>
    <col min="12" max="12" width="28.33203125" style="124" customWidth="1"/>
    <col min="13" max="13" width="28.33203125" style="124" hidden="1" customWidth="1"/>
    <col min="14" max="14" width="31.5546875" style="124" customWidth="1"/>
    <col min="15" max="15" width="26.33203125" style="124" customWidth="1"/>
    <col min="16" max="16" width="31.33203125" style="124" customWidth="1"/>
    <col min="17" max="17" width="7.109375" style="124" customWidth="1"/>
    <col min="18" max="18" width="16.109375" style="124" customWidth="1"/>
    <col min="19" max="19" width="64.33203125" style="124" customWidth="1"/>
    <col min="20" max="24" width="9.109375" style="139" hidden="1" customWidth="1"/>
    <col min="25" max="16384" width="9.109375" style="124" hidden="1"/>
  </cols>
  <sheetData>
    <row r="1" spans="1:25" ht="15" hidden="1" thickBot="1" x14ac:dyDescent="0.35">
      <c r="A1" t="s">
        <v>478</v>
      </c>
      <c r="B1" t="s">
        <v>479</v>
      </c>
      <c r="C1" s="144" t="s">
        <v>539</v>
      </c>
      <c r="D1" s="144" t="s">
        <v>540</v>
      </c>
      <c r="E1" s="2" t="s">
        <v>480</v>
      </c>
      <c r="F1" t="s">
        <v>489</v>
      </c>
      <c r="G1" t="s">
        <v>482</v>
      </c>
      <c r="H1" t="s">
        <v>503</v>
      </c>
      <c r="I1" t="s">
        <v>482</v>
      </c>
      <c r="J1" t="s">
        <v>504</v>
      </c>
      <c r="K1" t="s">
        <v>505</v>
      </c>
      <c r="L1" t="s">
        <v>482</v>
      </c>
      <c r="M1" t="s">
        <v>506</v>
      </c>
      <c r="N1" s="14" t="s">
        <v>875</v>
      </c>
      <c r="O1" s="2" t="s">
        <v>507</v>
      </c>
      <c r="P1" s="14" t="s">
        <v>484</v>
      </c>
      <c r="R1" s="14" t="s">
        <v>482</v>
      </c>
      <c r="S1" s="14" t="s">
        <v>482</v>
      </c>
    </row>
    <row r="2" spans="1:25" ht="101.4" thickBot="1" x14ac:dyDescent="0.35">
      <c r="A2" s="3" t="s">
        <v>420</v>
      </c>
      <c r="B2" s="166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2" t="s">
        <v>454</v>
      </c>
      <c r="P2" s="73" t="s">
        <v>419</v>
      </c>
      <c r="R2" s="39" t="s">
        <v>447</v>
      </c>
      <c r="S2" s="86" t="s">
        <v>525</v>
      </c>
    </row>
    <row r="3" spans="1:25" ht="75" customHeight="1" thickTop="1" x14ac:dyDescent="0.3">
      <c r="A3" s="25" t="s">
        <v>476</v>
      </c>
      <c r="B3" s="165" t="str">
        <f>ΓΕΝΙΚΑ!$C$4</f>
        <v>VODAFONE</v>
      </c>
      <c r="C3" s="32">
        <f>IF(R3="",IF(ΓΕΝΙΚΑ!$B$21="ΝΑΙ",15300,""),"")</f>
        <v>15300</v>
      </c>
      <c r="D3" s="145" t="str">
        <f>IF(ΓΕΝΙΚΑ!$B$21="ΝΑΙ","ΠΑΝΕΛΛΑΔΙΚΑ","")</f>
        <v>ΠΑΝΕΛΛΑΔΙΚΑ</v>
      </c>
      <c r="E3" s="26" t="s">
        <v>485</v>
      </c>
      <c r="F3" s="6">
        <v>50</v>
      </c>
      <c r="G3" s="53">
        <v>72.09</v>
      </c>
      <c r="H3" s="106">
        <f>IF(ISNUMBER(G3),ROUND(G3,2),"N/A")</f>
        <v>72.09</v>
      </c>
      <c r="I3" s="53">
        <v>38.909999999999997</v>
      </c>
      <c r="J3" s="71">
        <f>IF(ISNUMBER(I3),ROUND(I3,2),"N/A")</f>
        <v>38.909999999999997</v>
      </c>
      <c r="K3" s="30">
        <f>IF(AND(ISNUMBER(G3),ISNUMBER(I3)),ROUND(G3+I3,2),IF(ISNUMBER(G3),ROUND(G3,2),IF(ISNUMBER(I3),ROUND(I3,2),"N/A")))</f>
        <v>111</v>
      </c>
      <c r="L3" s="56"/>
      <c r="M3" s="191" t="str">
        <f>IF(ISNUMBER(L3),ROUND(L3,0),"N/A")</f>
        <v>N/A</v>
      </c>
      <c r="N3" s="159"/>
      <c r="O3" s="192" t="s">
        <v>872</v>
      </c>
      <c r="P3" s="187" t="s">
        <v>872</v>
      </c>
      <c r="R3" s="38" t="str">
        <f>IF(S3="","","ΣΦΑΛΜΑ")</f>
        <v/>
      </c>
      <c r="S3" s="128" t="str">
        <f>CONCATENATE(IF(K3="",T3,""),IF(NOT(ISNUMBER(G3)),"",IF(G3&gt;G17,V3,"")),IF(NOT(ISNUMBER(I3)),"",IF(I3&gt;I17,W3,"")),IF(K3&gt;K17,U3,""),IF(L3="","",IF(ISNUMBER(L3),IF(L3&gt;L17,X3,""),Y3)))</f>
        <v/>
      </c>
      <c r="T3" s="139" t="s">
        <v>537</v>
      </c>
      <c r="U3" s="139" t="s">
        <v>867</v>
      </c>
      <c r="V3" s="139" t="s">
        <v>868</v>
      </c>
      <c r="W3" s="139" t="s">
        <v>869</v>
      </c>
      <c r="X3" s="139" t="s">
        <v>870</v>
      </c>
      <c r="Y3" s="139" t="s">
        <v>538</v>
      </c>
    </row>
    <row r="4" spans="1:25" ht="16.5" customHeight="1" x14ac:dyDescent="0.3">
      <c r="A4" s="27" t="str">
        <f t="shared" ref="A4:A30" si="0">A$3</f>
        <v>F06</v>
      </c>
      <c r="B4" s="165" t="str">
        <f>ΓΕΝΙΚΑ!$C$4</f>
        <v>VODAFONE</v>
      </c>
      <c r="C4" s="146">
        <f>IF(R4="",IF(ΓΕΝΙΚΑ!$B$21="ΝΑΙ",14664,""),"")</f>
        <v>14664</v>
      </c>
      <c r="D4" s="147" t="str">
        <f>IF(ΓΕΝΙΚΑ!$B$21="ΝΑΙ","Π. ΑΝΑΤΟΛΙΚΗΣ ΜΑΚΕΔΟΝΙΑΣ - ΘΡΑΚΗΣ","")</f>
        <v>Π. ΑΝΑΤΟΛΙΚΗΣ ΜΑΚΕΔΟΝΙΑΣ - ΘΡΑΚΗΣ</v>
      </c>
      <c r="E4" s="8" t="s">
        <v>37</v>
      </c>
      <c r="F4" s="8">
        <v>50</v>
      </c>
      <c r="G4" s="54">
        <v>56.73642423404057</v>
      </c>
      <c r="H4" s="106">
        <f t="shared" ref="H4:H30" si="1">IF(ISNUMBER(G4),ROUND(G4,2),"N/A")</f>
        <v>56.74</v>
      </c>
      <c r="I4" s="54">
        <v>37.26357576595943</v>
      </c>
      <c r="J4" s="71">
        <f t="shared" ref="J4:J30" si="2">IF(ISNUMBER(I4),ROUND(I4,2),"N/A")</f>
        <v>37.26</v>
      </c>
      <c r="K4" s="30">
        <f t="shared" ref="K4:K30" si="3">IF(AND(ISNUMBER(G4),ISNUMBER(I4)),ROUND(G4+I4,2),IF(ISNUMBER(G4),ROUND(G4,2),IF(ISNUMBER(I4),ROUND(I4,2),"N/A")))</f>
        <v>94</v>
      </c>
      <c r="L4" s="57"/>
      <c r="M4" s="191" t="str">
        <f t="shared" ref="M4:M30" si="4">IF(ISNUMBER(L4),ROUND(L4,0),"N/A")</f>
        <v>N/A</v>
      </c>
      <c r="N4" s="160">
        <f>N$3</f>
        <v>0</v>
      </c>
      <c r="O4" s="160" t="str">
        <f>O$3</f>
        <v/>
      </c>
      <c r="P4" s="161" t="str">
        <f>P$3</f>
        <v/>
      </c>
      <c r="R4" s="38" t="str">
        <f t="shared" ref="R4:R30" si="5">IF(S4="","","ΣΦΑΛΜΑ")</f>
        <v/>
      </c>
      <c r="S4" s="140" t="str">
        <f>IF(ΠΕΡΙΦΕΡΕΙΑ!B2="Καθόλου",IF(K4="N/A","","Να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39" t="s">
        <v>537</v>
      </c>
      <c r="U4" s="139" t="s">
        <v>867</v>
      </c>
      <c r="V4" s="139" t="s">
        <v>868</v>
      </c>
      <c r="W4" s="139" t="s">
        <v>869</v>
      </c>
      <c r="X4" s="139" t="s">
        <v>870</v>
      </c>
      <c r="Y4" s="139" t="s">
        <v>538</v>
      </c>
    </row>
    <row r="5" spans="1:25" ht="16.5" customHeight="1" x14ac:dyDescent="0.3">
      <c r="A5" s="27" t="str">
        <f t="shared" si="0"/>
        <v>F06</v>
      </c>
      <c r="B5" s="165" t="str">
        <f>ΓΕΝΙΚΑ!$C$4</f>
        <v>VODAFONE</v>
      </c>
      <c r="C5" s="31">
        <f>IF(R5="",IF(ΓΕΝΙΚΑ!$B$21="ΝΑΙ",14666,""),"")</f>
        <v>14666</v>
      </c>
      <c r="D5" s="148" t="str">
        <f>IF(ΓΕΝΙΚΑ!$B$21="ΝΑΙ","Π. ΑΤΤΙΚΗΣ","")</f>
        <v>Π. ΑΤΤΙΚΗΣ</v>
      </c>
      <c r="E5" s="8" t="s">
        <v>38</v>
      </c>
      <c r="F5" s="8">
        <v>50</v>
      </c>
      <c r="G5" s="54">
        <v>77.211696329599221</v>
      </c>
      <c r="H5" s="106">
        <f t="shared" si="1"/>
        <v>77.209999999999994</v>
      </c>
      <c r="I5" s="54">
        <v>40.788303670400779</v>
      </c>
      <c r="J5" s="71">
        <f t="shared" si="2"/>
        <v>40.79</v>
      </c>
      <c r="K5" s="30">
        <f t="shared" si="3"/>
        <v>118</v>
      </c>
      <c r="L5" s="57"/>
      <c r="M5" s="191" t="str">
        <f t="shared" si="4"/>
        <v>N/A</v>
      </c>
      <c r="N5" s="160">
        <f t="shared" ref="N5:P30" si="6">N$3</f>
        <v>0</v>
      </c>
      <c r="O5" s="160" t="str">
        <f t="shared" si="6"/>
        <v/>
      </c>
      <c r="P5" s="161" t="str">
        <f t="shared" si="6"/>
        <v/>
      </c>
      <c r="R5" s="38" t="str">
        <f t="shared" si="5"/>
        <v/>
      </c>
      <c r="S5" s="140" t="str">
        <f>IF(ΠΕΡΙΦΕΡΕΙΑ!B3="Καθόλου",IF(K5="N/A","","Να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39" t="s">
        <v>537</v>
      </c>
      <c r="U5" s="139" t="s">
        <v>867</v>
      </c>
      <c r="V5" s="139" t="s">
        <v>868</v>
      </c>
      <c r="W5" s="139" t="s">
        <v>869</v>
      </c>
      <c r="X5" s="139" t="s">
        <v>870</v>
      </c>
      <c r="Y5" s="139" t="s">
        <v>538</v>
      </c>
    </row>
    <row r="6" spans="1:25" ht="16.5" customHeight="1" x14ac:dyDescent="0.3">
      <c r="A6" s="27" t="str">
        <f t="shared" si="0"/>
        <v>F06</v>
      </c>
      <c r="B6" s="165" t="str">
        <f>ΓΕΝΙΚΑ!$C$4</f>
        <v>VODAFONE</v>
      </c>
      <c r="C6" s="146">
        <f>IF(R6="",IF(ΓΕΝΙΚΑ!$B$21="ΝΑΙ",14668,""),"")</f>
        <v>14668</v>
      </c>
      <c r="D6" s="147" t="str">
        <f>IF(ΓΕΝΙΚΑ!$B$21="ΝΑΙ","Π. ΒΟΡΕΙΟΥ ΑΙΓΑΙΟΥ","")</f>
        <v>Π. ΒΟΡΕΙΟΥ ΑΙΓΑΙΟΥ</v>
      </c>
      <c r="E6" s="8" t="s">
        <v>402</v>
      </c>
      <c r="F6" s="8">
        <v>50</v>
      </c>
      <c r="G6" s="54">
        <v>56.823733365465344</v>
      </c>
      <c r="H6" s="106">
        <f t="shared" si="1"/>
        <v>56.82</v>
      </c>
      <c r="I6" s="54">
        <v>37.176266634534656</v>
      </c>
      <c r="J6" s="71">
        <f t="shared" si="2"/>
        <v>37.18</v>
      </c>
      <c r="K6" s="30">
        <f t="shared" si="3"/>
        <v>94</v>
      </c>
      <c r="L6" s="57"/>
      <c r="M6" s="191" t="str">
        <f t="shared" si="4"/>
        <v>N/A</v>
      </c>
      <c r="N6" s="160">
        <f t="shared" si="6"/>
        <v>0</v>
      </c>
      <c r="O6" s="160" t="str">
        <f t="shared" si="6"/>
        <v/>
      </c>
      <c r="P6" s="161" t="str">
        <f t="shared" si="6"/>
        <v/>
      </c>
      <c r="R6" s="38" t="str">
        <f t="shared" si="5"/>
        <v/>
      </c>
      <c r="S6" s="140" t="str">
        <f>IF(ΠΕΡΙΦΕΡΕΙΑ!B4="Καθόλου",IF(K6="N/A","","Να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39" t="s">
        <v>537</v>
      </c>
      <c r="U6" s="139" t="s">
        <v>867</v>
      </c>
      <c r="V6" s="139" t="s">
        <v>868</v>
      </c>
      <c r="W6" s="139" t="s">
        <v>869</v>
      </c>
      <c r="X6" s="139" t="s">
        <v>870</v>
      </c>
      <c r="Y6" s="139" t="s">
        <v>538</v>
      </c>
    </row>
    <row r="7" spans="1:25" ht="16.5" customHeight="1" x14ac:dyDescent="0.3">
      <c r="A7" s="27" t="str">
        <f t="shared" si="0"/>
        <v>F06</v>
      </c>
      <c r="B7" s="165" t="str">
        <f>ΓΕΝΙΚΑ!$C$4</f>
        <v>VODAFONE</v>
      </c>
      <c r="C7" s="31">
        <f>IF(R7="",IF(ΓΕΝΙΚΑ!$B$21="ΝΑΙ",14670,""),"")</f>
        <v>14670</v>
      </c>
      <c r="D7" s="148" t="str">
        <f>IF(ΓΕΝΙΚΑ!$B$21="ΝΑΙ","Π. ΔΥΤΙΚΗΣ ΕΛΛΑΔΑΣ","")</f>
        <v>Π. ΔΥΤΙΚΗΣ ΕΛΛΑΔΑΣ</v>
      </c>
      <c r="E7" s="8" t="s">
        <v>403</v>
      </c>
      <c r="F7" s="8">
        <v>50</v>
      </c>
      <c r="G7" s="54">
        <v>72.052435718932387</v>
      </c>
      <c r="H7" s="106">
        <f t="shared" si="1"/>
        <v>72.05</v>
      </c>
      <c r="I7" s="54">
        <v>47.947564281067613</v>
      </c>
      <c r="J7" s="71">
        <f t="shared" si="2"/>
        <v>47.95</v>
      </c>
      <c r="K7" s="30">
        <f t="shared" si="3"/>
        <v>120</v>
      </c>
      <c r="L7" s="57"/>
      <c r="M7" s="191" t="str">
        <f t="shared" si="4"/>
        <v>N/A</v>
      </c>
      <c r="N7" s="160">
        <f t="shared" si="6"/>
        <v>0</v>
      </c>
      <c r="O7" s="160" t="str">
        <f t="shared" si="6"/>
        <v/>
      </c>
      <c r="P7" s="161" t="str">
        <f t="shared" si="6"/>
        <v/>
      </c>
      <c r="R7" s="38" t="str">
        <f t="shared" si="5"/>
        <v/>
      </c>
      <c r="S7" s="140" t="str">
        <f>IF(ΠΕΡΙΦΕΡΕΙΑ!B5="Καθόλου",IF(K7="N/A","","Να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39" t="s">
        <v>537</v>
      </c>
      <c r="U7" s="139" t="s">
        <v>867</v>
      </c>
      <c r="V7" s="139" t="s">
        <v>868</v>
      </c>
      <c r="W7" s="139" t="s">
        <v>869</v>
      </c>
      <c r="X7" s="139" t="s">
        <v>870</v>
      </c>
      <c r="Y7" s="139" t="s">
        <v>538</v>
      </c>
    </row>
    <row r="8" spans="1:25" ht="16.5" customHeight="1" x14ac:dyDescent="0.3">
      <c r="A8" s="27" t="str">
        <f t="shared" si="0"/>
        <v>F06</v>
      </c>
      <c r="B8" s="165" t="str">
        <f>ΓΕΝΙΚΑ!$C$4</f>
        <v>VODAFONE</v>
      </c>
      <c r="C8" s="146">
        <f>IF(R8="",IF(ΓΕΝΙΚΑ!$B$21="ΝΑΙ",14672,""),"")</f>
        <v>14672</v>
      </c>
      <c r="D8" s="147" t="str">
        <f>IF(ΓΕΝΙΚΑ!$B$21="ΝΑΙ","Π. ΔΥΤΙΚΗΣ ΜΑΚΕΔΟΝΙΑΣ","")</f>
        <v>Π. ΔΥΤΙΚΗΣ ΜΑΚΕΔΟΝΙΑΣ</v>
      </c>
      <c r="E8" s="8" t="s">
        <v>404</v>
      </c>
      <c r="F8" s="8">
        <v>50</v>
      </c>
      <c r="G8" s="54">
        <v>57.822783242684899</v>
      </c>
      <c r="H8" s="106">
        <f t="shared" si="1"/>
        <v>57.82</v>
      </c>
      <c r="I8" s="54">
        <v>43.177216757315101</v>
      </c>
      <c r="J8" s="71">
        <f t="shared" si="2"/>
        <v>43.18</v>
      </c>
      <c r="K8" s="30">
        <f t="shared" si="3"/>
        <v>101</v>
      </c>
      <c r="L8" s="57"/>
      <c r="M8" s="191" t="str">
        <f t="shared" si="4"/>
        <v>N/A</v>
      </c>
      <c r="N8" s="160">
        <f t="shared" si="6"/>
        <v>0</v>
      </c>
      <c r="O8" s="160" t="str">
        <f t="shared" si="6"/>
        <v/>
      </c>
      <c r="P8" s="161" t="str">
        <f t="shared" si="6"/>
        <v/>
      </c>
      <c r="R8" s="38" t="str">
        <f t="shared" si="5"/>
        <v/>
      </c>
      <c r="S8" s="140" t="str">
        <f>IF(ΠΕΡΙΦΕΡΕΙΑ!B6="Καθόλου",IF(K8="N/A","","Να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39" t="s">
        <v>537</v>
      </c>
      <c r="U8" s="139" t="s">
        <v>867</v>
      </c>
      <c r="V8" s="139" t="s">
        <v>868</v>
      </c>
      <c r="W8" s="139" t="s">
        <v>869</v>
      </c>
      <c r="X8" s="139" t="s">
        <v>870</v>
      </c>
      <c r="Y8" s="139" t="s">
        <v>538</v>
      </c>
    </row>
    <row r="9" spans="1:25" ht="16.5" customHeight="1" x14ac:dyDescent="0.3">
      <c r="A9" s="27" t="str">
        <f t="shared" si="0"/>
        <v>F06</v>
      </c>
      <c r="B9" s="165" t="str">
        <f>ΓΕΝΙΚΑ!$C$4</f>
        <v>VODAFONE</v>
      </c>
      <c r="C9" s="31">
        <f>IF(R9="",IF(ΓΕΝΙΚΑ!$B$21="ΝΑΙ",14674,""),"")</f>
        <v>14674</v>
      </c>
      <c r="D9" s="148" t="str">
        <f>IF(ΓΕΝΙΚΑ!$B$21="ΝΑΙ","Π. ΗΠΕΙΡΟΥ","")</f>
        <v>Π. ΗΠΕΙΡΟΥ</v>
      </c>
      <c r="E9" s="8" t="s">
        <v>405</v>
      </c>
      <c r="F9" s="8">
        <v>50</v>
      </c>
      <c r="G9" s="54">
        <v>80.072389392723338</v>
      </c>
      <c r="H9" s="106">
        <f t="shared" si="1"/>
        <v>80.069999999999993</v>
      </c>
      <c r="I9" s="54">
        <v>38.927610607276662</v>
      </c>
      <c r="J9" s="71">
        <f t="shared" si="2"/>
        <v>38.93</v>
      </c>
      <c r="K9" s="30">
        <f t="shared" si="3"/>
        <v>119</v>
      </c>
      <c r="L9" s="57"/>
      <c r="M9" s="191" t="str">
        <f t="shared" si="4"/>
        <v>N/A</v>
      </c>
      <c r="N9" s="160">
        <f t="shared" si="6"/>
        <v>0</v>
      </c>
      <c r="O9" s="160" t="str">
        <f t="shared" si="6"/>
        <v/>
      </c>
      <c r="P9" s="161" t="str">
        <f t="shared" si="6"/>
        <v/>
      </c>
      <c r="R9" s="38" t="str">
        <f t="shared" si="5"/>
        <v/>
      </c>
      <c r="S9" s="140" t="str">
        <f>IF(ΠΕΡΙΦΕΡΕΙΑ!B7="Καθόλου",IF(K9="N/A","","Να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39" t="s">
        <v>537</v>
      </c>
      <c r="U9" s="139" t="s">
        <v>867</v>
      </c>
      <c r="V9" s="139" t="s">
        <v>868</v>
      </c>
      <c r="W9" s="139" t="s">
        <v>869</v>
      </c>
      <c r="X9" s="139" t="s">
        <v>870</v>
      </c>
      <c r="Y9" s="139" t="s">
        <v>538</v>
      </c>
    </row>
    <row r="10" spans="1:25" ht="16.5" customHeight="1" x14ac:dyDescent="0.3">
      <c r="A10" s="27" t="str">
        <f t="shared" si="0"/>
        <v>F06</v>
      </c>
      <c r="B10" s="165" t="str">
        <f>ΓΕΝΙΚΑ!$C$4</f>
        <v>VODAFONE</v>
      </c>
      <c r="C10" s="146">
        <f>IF(R10="",IF(ΓΕΝΙΚΑ!$B$21="ΝΑΙ",14676,""),"")</f>
        <v>14676</v>
      </c>
      <c r="D10" s="147" t="str">
        <f>IF(ΓΕΝΙΚΑ!$B$21="ΝΑΙ","Π. ΘΕΣΣΑΛΙΑΣ","")</f>
        <v>Π. ΘΕΣΣΑΛΙΑΣ</v>
      </c>
      <c r="E10" s="8" t="s">
        <v>406</v>
      </c>
      <c r="F10" s="8">
        <v>50</v>
      </c>
      <c r="G10" s="54">
        <v>72.082168136127137</v>
      </c>
      <c r="H10" s="106">
        <f t="shared" si="1"/>
        <v>72.08</v>
      </c>
      <c r="I10" s="54">
        <v>29.917831863872863</v>
      </c>
      <c r="J10" s="71">
        <f t="shared" si="2"/>
        <v>29.92</v>
      </c>
      <c r="K10" s="30">
        <f t="shared" si="3"/>
        <v>102</v>
      </c>
      <c r="L10" s="57"/>
      <c r="M10" s="191" t="str">
        <f t="shared" si="4"/>
        <v>N/A</v>
      </c>
      <c r="N10" s="160">
        <f t="shared" si="6"/>
        <v>0</v>
      </c>
      <c r="O10" s="160" t="str">
        <f t="shared" si="6"/>
        <v/>
      </c>
      <c r="P10" s="161" t="str">
        <f t="shared" si="6"/>
        <v/>
      </c>
      <c r="R10" s="38" t="str">
        <f t="shared" si="5"/>
        <v/>
      </c>
      <c r="S10" s="140" t="str">
        <f>IF(ΠΕΡΙΦΕΡΕΙΑ!B8="Καθόλου",IF(K10="N/A","","Να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39" t="s">
        <v>537</v>
      </c>
      <c r="U10" s="139" t="s">
        <v>867</v>
      </c>
      <c r="V10" s="139" t="s">
        <v>868</v>
      </c>
      <c r="W10" s="139" t="s">
        <v>869</v>
      </c>
      <c r="X10" s="139" t="s">
        <v>870</v>
      </c>
      <c r="Y10" s="139" t="s">
        <v>538</v>
      </c>
    </row>
    <row r="11" spans="1:25" ht="16.5" customHeight="1" x14ac:dyDescent="0.3">
      <c r="A11" s="27" t="str">
        <f t="shared" si="0"/>
        <v>F06</v>
      </c>
      <c r="B11" s="165" t="str">
        <f>ΓΕΝΙΚΑ!$C$4</f>
        <v>VODAFONE</v>
      </c>
      <c r="C11" s="31">
        <f>IF(R11="",IF(ΓΕΝΙΚΑ!$B$21="ΝΑΙ",14678,""),"")</f>
        <v>14678</v>
      </c>
      <c r="D11" s="148" t="str">
        <f>IF(ΓΕΝΙΚΑ!$B$21="ΝΑΙ","Π. ΙΟΝΙΩΝ ΝΗΣΩΝ","")</f>
        <v>Π. ΙΟΝΙΩΝ ΝΗΣΩΝ</v>
      </c>
      <c r="E11" s="8" t="s">
        <v>407</v>
      </c>
      <c r="F11" s="8">
        <v>50</v>
      </c>
      <c r="G11" s="54">
        <v>85.265368910546982</v>
      </c>
      <c r="H11" s="106">
        <f t="shared" si="1"/>
        <v>85.27</v>
      </c>
      <c r="I11" s="54">
        <v>43.734631089453018</v>
      </c>
      <c r="J11" s="71">
        <f t="shared" si="2"/>
        <v>43.73</v>
      </c>
      <c r="K11" s="30">
        <f t="shared" si="3"/>
        <v>129</v>
      </c>
      <c r="L11" s="57"/>
      <c r="M11" s="191" t="str">
        <f t="shared" si="4"/>
        <v>N/A</v>
      </c>
      <c r="N11" s="160">
        <f t="shared" si="6"/>
        <v>0</v>
      </c>
      <c r="O11" s="160" t="str">
        <f t="shared" si="6"/>
        <v/>
      </c>
      <c r="P11" s="161" t="str">
        <f t="shared" si="6"/>
        <v/>
      </c>
      <c r="R11" s="38" t="str">
        <f t="shared" si="5"/>
        <v/>
      </c>
      <c r="S11" s="140" t="str">
        <f>IF(ΠΕΡΙΦΕΡΕΙΑ!B9="Καθόλου",IF(K11="N/A","","Να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39" t="s">
        <v>537</v>
      </c>
      <c r="U11" s="139" t="s">
        <v>867</v>
      </c>
      <c r="V11" s="139" t="s">
        <v>868</v>
      </c>
      <c r="W11" s="139" t="s">
        <v>869</v>
      </c>
      <c r="X11" s="139" t="s">
        <v>870</v>
      </c>
      <c r="Y11" s="139" t="s">
        <v>538</v>
      </c>
    </row>
    <row r="12" spans="1:25" ht="16.5" customHeight="1" x14ac:dyDescent="0.3">
      <c r="A12" s="27" t="str">
        <f t="shared" si="0"/>
        <v>F06</v>
      </c>
      <c r="B12" s="165" t="str">
        <f>ΓΕΝΙΚΑ!$C$4</f>
        <v>VODAFONE</v>
      </c>
      <c r="C12" s="146">
        <f>IF(R12="",IF(ΓΕΝΙΚΑ!$B$21="ΝΑΙ",14680,""),"")</f>
        <v>14680</v>
      </c>
      <c r="D12" s="147" t="str">
        <f>IF(ΓΕΝΙΚΑ!$B$21="ΝΑΙ","Π. ΚΕΝΤΡΙΚΗΣ ΜΑΚΕΔΟΝΙΑΣ","")</f>
        <v>Π. ΚΕΝΤΡΙΚΗΣ ΜΑΚΕΔΟΝΙΑΣ</v>
      </c>
      <c r="E12" s="8" t="s">
        <v>408</v>
      </c>
      <c r="F12" s="8">
        <v>50</v>
      </c>
      <c r="G12" s="54">
        <v>60.042151136085202</v>
      </c>
      <c r="H12" s="106">
        <f t="shared" si="1"/>
        <v>60.04</v>
      </c>
      <c r="I12" s="54">
        <v>36.957848863914798</v>
      </c>
      <c r="J12" s="71">
        <f t="shared" si="2"/>
        <v>36.96</v>
      </c>
      <c r="K12" s="30">
        <f t="shared" si="3"/>
        <v>97</v>
      </c>
      <c r="L12" s="57"/>
      <c r="M12" s="191" t="str">
        <f t="shared" si="4"/>
        <v>N/A</v>
      </c>
      <c r="N12" s="160">
        <f t="shared" si="6"/>
        <v>0</v>
      </c>
      <c r="O12" s="160" t="str">
        <f t="shared" si="6"/>
        <v/>
      </c>
      <c r="P12" s="161" t="str">
        <f t="shared" si="6"/>
        <v/>
      </c>
      <c r="R12" s="38" t="str">
        <f t="shared" si="5"/>
        <v/>
      </c>
      <c r="S12" s="140" t="str">
        <f>IF(ΠΕΡΙΦΕΡΕΙΑ!B10="Καθόλου",IF(K12="N/A","","Να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39" t="s">
        <v>537</v>
      </c>
      <c r="U12" s="139" t="s">
        <v>867</v>
      </c>
      <c r="V12" s="139" t="s">
        <v>868</v>
      </c>
      <c r="W12" s="139" t="s">
        <v>869</v>
      </c>
      <c r="X12" s="139" t="s">
        <v>870</v>
      </c>
      <c r="Y12" s="139" t="s">
        <v>538</v>
      </c>
    </row>
    <row r="13" spans="1:25" ht="16.5" customHeight="1" x14ac:dyDescent="0.3">
      <c r="A13" s="27" t="str">
        <f t="shared" si="0"/>
        <v>F06</v>
      </c>
      <c r="B13" s="165" t="str">
        <f>ΓΕΝΙΚΑ!$C$4</f>
        <v>VODAFONE</v>
      </c>
      <c r="C13" s="31">
        <f>IF(R13="",IF(ΓΕΝΙΚΑ!$B$21="ΝΑΙ",14682,""),"")</f>
        <v>14682</v>
      </c>
      <c r="D13" s="148" t="str">
        <f>IF(ΓΕΝΙΚΑ!$B$21="ΝΑΙ","Π. ΚΡΗΤΗΣ","")</f>
        <v>Π. ΚΡΗΤΗΣ</v>
      </c>
      <c r="E13" s="8" t="s">
        <v>409</v>
      </c>
      <c r="F13" s="8">
        <v>50</v>
      </c>
      <c r="G13" s="54">
        <v>59.339065346139698</v>
      </c>
      <c r="H13" s="106">
        <f t="shared" si="1"/>
        <v>59.34</v>
      </c>
      <c r="I13" s="54">
        <v>27.660934653860302</v>
      </c>
      <c r="J13" s="71">
        <f t="shared" si="2"/>
        <v>27.66</v>
      </c>
      <c r="K13" s="30">
        <f t="shared" si="3"/>
        <v>87</v>
      </c>
      <c r="L13" s="57"/>
      <c r="M13" s="191" t="str">
        <f t="shared" si="4"/>
        <v>N/A</v>
      </c>
      <c r="N13" s="160">
        <f t="shared" si="6"/>
        <v>0</v>
      </c>
      <c r="O13" s="160" t="str">
        <f t="shared" si="6"/>
        <v/>
      </c>
      <c r="P13" s="161" t="str">
        <f t="shared" si="6"/>
        <v/>
      </c>
      <c r="R13" s="38" t="str">
        <f t="shared" si="5"/>
        <v/>
      </c>
      <c r="S13" s="140" t="str">
        <f>IF(ΠΕΡΙΦΕΡΕΙΑ!B11="Καθόλου",IF(K13="N/A","","Να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39" t="s">
        <v>537</v>
      </c>
      <c r="U13" s="139" t="s">
        <v>867</v>
      </c>
      <c r="V13" s="139" t="s">
        <v>868</v>
      </c>
      <c r="W13" s="139" t="s">
        <v>869</v>
      </c>
      <c r="X13" s="139" t="s">
        <v>870</v>
      </c>
      <c r="Y13" s="139" t="s">
        <v>538</v>
      </c>
    </row>
    <row r="14" spans="1:25" ht="16.5" customHeight="1" x14ac:dyDescent="0.3">
      <c r="A14" s="27" t="str">
        <f t="shared" si="0"/>
        <v>F06</v>
      </c>
      <c r="B14" s="165" t="str">
        <f>ΓΕΝΙΚΑ!$C$4</f>
        <v>VODAFONE</v>
      </c>
      <c r="C14" s="146">
        <f>IF(R14="",IF(ΓΕΝΙΚΑ!$B$21="ΝΑΙ",14684,""),"")</f>
        <v>14684</v>
      </c>
      <c r="D14" s="147" t="str">
        <f>IF(ΓΕΝΙΚΑ!$B$21="ΝΑΙ","Π. ΝΟΤΙΟΥ ΑΙΓΑΙΟΥ","")</f>
        <v>Π. ΝΟΤΙΟΥ ΑΙΓΑΙΟΥ</v>
      </c>
      <c r="E14" s="8" t="s">
        <v>410</v>
      </c>
      <c r="F14" s="8">
        <v>50</v>
      </c>
      <c r="G14" s="54">
        <v>74.755363485145921</v>
      </c>
      <c r="H14" s="106">
        <f t="shared" si="1"/>
        <v>74.760000000000005</v>
      </c>
      <c r="I14" s="54">
        <v>41.244636514854079</v>
      </c>
      <c r="J14" s="71">
        <f t="shared" si="2"/>
        <v>41.24</v>
      </c>
      <c r="K14" s="30">
        <f t="shared" si="3"/>
        <v>116</v>
      </c>
      <c r="L14" s="57"/>
      <c r="M14" s="191" t="str">
        <f t="shared" si="4"/>
        <v>N/A</v>
      </c>
      <c r="N14" s="160">
        <f t="shared" si="6"/>
        <v>0</v>
      </c>
      <c r="O14" s="160" t="str">
        <f t="shared" si="6"/>
        <v/>
      </c>
      <c r="P14" s="161" t="str">
        <f t="shared" si="6"/>
        <v/>
      </c>
      <c r="R14" s="38" t="str">
        <f t="shared" si="5"/>
        <v/>
      </c>
      <c r="S14" s="140" t="str">
        <f>IF(ΠΕΡΙΦΕΡΕΙΑ!B12="Καθόλου",IF(K14="N/A","","Να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39" t="s">
        <v>537</v>
      </c>
      <c r="U14" s="139" t="s">
        <v>867</v>
      </c>
      <c r="V14" s="139" t="s">
        <v>868</v>
      </c>
      <c r="W14" s="139" t="s">
        <v>869</v>
      </c>
      <c r="X14" s="139" t="s">
        <v>870</v>
      </c>
      <c r="Y14" s="139" t="s">
        <v>538</v>
      </c>
    </row>
    <row r="15" spans="1:25" ht="16.5" customHeight="1" x14ac:dyDescent="0.3">
      <c r="A15" s="27" t="str">
        <f t="shared" si="0"/>
        <v>F06</v>
      </c>
      <c r="B15" s="165" t="str">
        <f>ΓΕΝΙΚΑ!$C$4</f>
        <v>VODAFONE</v>
      </c>
      <c r="C15" s="31">
        <f>IF(R15="",IF(ΓΕΝΙΚΑ!$B$21="ΝΑΙ",14686,""),"")</f>
        <v>14686</v>
      </c>
      <c r="D15" s="148" t="str">
        <f>IF(ΓΕΝΙΚΑ!$B$21="ΝΑΙ","Π. ΠΕΛΟΠΟΝΝΗΣΟΥ","")</f>
        <v>Π. ΠΕΛΟΠΟΝΝΗΣΟΥ</v>
      </c>
      <c r="E15" s="8" t="s">
        <v>411</v>
      </c>
      <c r="F15" s="8">
        <v>50</v>
      </c>
      <c r="G15" s="54">
        <v>70.739980084188602</v>
      </c>
      <c r="H15" s="106">
        <f t="shared" si="1"/>
        <v>70.739999999999995</v>
      </c>
      <c r="I15" s="54">
        <v>31.260019915811398</v>
      </c>
      <c r="J15" s="71">
        <f t="shared" si="2"/>
        <v>31.26</v>
      </c>
      <c r="K15" s="30">
        <f t="shared" si="3"/>
        <v>102</v>
      </c>
      <c r="L15" s="57"/>
      <c r="M15" s="191" t="str">
        <f t="shared" si="4"/>
        <v>N/A</v>
      </c>
      <c r="N15" s="160">
        <f t="shared" si="6"/>
        <v>0</v>
      </c>
      <c r="O15" s="160" t="str">
        <f t="shared" si="6"/>
        <v/>
      </c>
      <c r="P15" s="161" t="str">
        <f t="shared" si="6"/>
        <v/>
      </c>
      <c r="R15" s="38" t="str">
        <f t="shared" si="5"/>
        <v/>
      </c>
      <c r="S15" s="140" t="str">
        <f>IF(ΠΕΡΙΦΕΡΕΙΑ!B13="Καθόλου",IF(K15="N/A","","Να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39" t="s">
        <v>537</v>
      </c>
      <c r="U15" s="139" t="s">
        <v>867</v>
      </c>
      <c r="V15" s="139" t="s">
        <v>868</v>
      </c>
      <c r="W15" s="139" t="s">
        <v>869</v>
      </c>
      <c r="X15" s="139" t="s">
        <v>870</v>
      </c>
      <c r="Y15" s="139" t="s">
        <v>538</v>
      </c>
    </row>
    <row r="16" spans="1:25" ht="16.5" customHeight="1" thickBot="1" x14ac:dyDescent="0.35">
      <c r="A16" s="27" t="str">
        <f t="shared" si="0"/>
        <v>F06</v>
      </c>
      <c r="B16" s="165" t="str">
        <f>ΓΕΝΙΚΑ!$C$4</f>
        <v>VODAFONE</v>
      </c>
      <c r="C16" s="149">
        <f>IF(R16="",IF(ΓΕΝΙΚΑ!$B$21="ΝΑΙ",14688,""),"")</f>
        <v>14688</v>
      </c>
      <c r="D16" s="150" t="str">
        <f>IF(ΓΕΝΙΚΑ!$B$21="ΝΑΙ","Π. ΣΤΕΡΕΑΣ ΕΛΛΑΔΑΣ","")</f>
        <v>Π. ΣΤΕΡΕΑΣ ΕΛΛΑΔΑΣ</v>
      </c>
      <c r="E16" s="7" t="s">
        <v>412</v>
      </c>
      <c r="F16" s="7">
        <v>50</v>
      </c>
      <c r="G16" s="55">
        <v>49.518507144994075</v>
      </c>
      <c r="H16" s="106">
        <f t="shared" si="1"/>
        <v>49.52</v>
      </c>
      <c r="I16" s="55">
        <v>28.481492855005925</v>
      </c>
      <c r="J16" s="71">
        <f t="shared" si="2"/>
        <v>28.48</v>
      </c>
      <c r="K16" s="30">
        <f t="shared" si="3"/>
        <v>78</v>
      </c>
      <c r="L16" s="58"/>
      <c r="M16" s="191" t="str">
        <f t="shared" si="4"/>
        <v>N/A</v>
      </c>
      <c r="N16" s="160">
        <f t="shared" si="6"/>
        <v>0</v>
      </c>
      <c r="O16" s="160" t="str">
        <f t="shared" si="6"/>
        <v/>
      </c>
      <c r="P16" s="161" t="str">
        <f t="shared" si="6"/>
        <v/>
      </c>
      <c r="R16" s="38" t="str">
        <f t="shared" si="5"/>
        <v/>
      </c>
      <c r="S16" s="140" t="str">
        <f>IF(ΠΕΡΙΦΕΡΕΙΑ!B14="Καθόλου",IF(K16="N/A","","Να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39" t="s">
        <v>537</v>
      </c>
      <c r="U16" s="139" t="s">
        <v>867</v>
      </c>
      <c r="V16" s="139" t="s">
        <v>868</v>
      </c>
      <c r="W16" s="139" t="s">
        <v>869</v>
      </c>
      <c r="X16" s="139" t="s">
        <v>870</v>
      </c>
      <c r="Y16" s="139" t="s">
        <v>538</v>
      </c>
    </row>
    <row r="17" spans="1:22" ht="16.5" customHeight="1" x14ac:dyDescent="0.3">
      <c r="A17" s="27" t="str">
        <f t="shared" si="0"/>
        <v>F06</v>
      </c>
      <c r="B17" s="165" t="str">
        <f>ΓΕΝΙΚΑ!$C$4</f>
        <v>VODAFONE</v>
      </c>
      <c r="C17" s="32">
        <f>IF(R17="",IF(ΓΕΝΙΚΑ!$B$21="ΝΑΙ",15300,""),"")</f>
        <v>15300</v>
      </c>
      <c r="D17" s="145" t="str">
        <f>IF(ΓΕΝΙΚΑ!$B$21="ΝΑΙ","ΠΑΝΕΛΛΑΔΙΚΑ","")</f>
        <v>ΠΑΝΕΛΛΑΔΙΚΑ</v>
      </c>
      <c r="E17" s="9" t="s">
        <v>485</v>
      </c>
      <c r="F17" s="6">
        <v>95</v>
      </c>
      <c r="G17" s="53">
        <v>283.04000000000002</v>
      </c>
      <c r="H17" s="106">
        <f t="shared" si="1"/>
        <v>283.04000000000002</v>
      </c>
      <c r="I17" s="53">
        <v>176.96</v>
      </c>
      <c r="J17" s="71">
        <f t="shared" si="2"/>
        <v>176.96</v>
      </c>
      <c r="K17" s="30">
        <f t="shared" si="3"/>
        <v>460</v>
      </c>
      <c r="L17" s="59"/>
      <c r="M17" s="191" t="str">
        <f t="shared" si="4"/>
        <v>N/A</v>
      </c>
      <c r="N17" s="160">
        <f t="shared" si="6"/>
        <v>0</v>
      </c>
      <c r="O17" s="160" t="str">
        <f t="shared" si="6"/>
        <v/>
      </c>
      <c r="P17" s="161" t="str">
        <f t="shared" si="6"/>
        <v/>
      </c>
      <c r="R17" s="38" t="str">
        <f t="shared" si="5"/>
        <v/>
      </c>
      <c r="S17" s="141" t="str">
        <f>IF(K17="",T3,"")</f>
        <v/>
      </c>
    </row>
    <row r="18" spans="1:22" ht="16.5" customHeight="1" x14ac:dyDescent="0.3">
      <c r="A18" s="27" t="str">
        <f t="shared" si="0"/>
        <v>F06</v>
      </c>
      <c r="B18" s="165" t="str">
        <f>ΓΕΝΙΚΑ!$C$4</f>
        <v>VODAFONE</v>
      </c>
      <c r="C18" s="146">
        <f>IF(R18="",IF(ΓΕΝΙΚΑ!$B$21="ΝΑΙ",14664,""),"")</f>
        <v>14664</v>
      </c>
      <c r="D18" s="147" t="str">
        <f>IF(ΓΕΝΙΚΑ!$B$21="ΝΑΙ","Π. ΑΝΑΤΟΛΙΚΗΣ ΜΑΚΕΔΟΝΙΑΣ - ΘΡΑΚΗΣ","")</f>
        <v>Π. ΑΝΑΤΟΛΙΚΗΣ ΜΑΚΕΔΟΝΙΑΣ - ΘΡΑΚΗΣ</v>
      </c>
      <c r="E18" s="8" t="s">
        <v>37</v>
      </c>
      <c r="F18" s="8">
        <v>95</v>
      </c>
      <c r="G18" s="54">
        <v>262.29479226763954</v>
      </c>
      <c r="H18" s="106">
        <f t="shared" si="1"/>
        <v>262.29000000000002</v>
      </c>
      <c r="I18" s="54">
        <v>150.70520773236046</v>
      </c>
      <c r="J18" s="71">
        <f t="shared" si="2"/>
        <v>150.71</v>
      </c>
      <c r="K18" s="30">
        <f t="shared" si="3"/>
        <v>413</v>
      </c>
      <c r="L18" s="57"/>
      <c r="M18" s="191" t="str">
        <f t="shared" si="4"/>
        <v>N/A</v>
      </c>
      <c r="N18" s="160">
        <f t="shared" si="6"/>
        <v>0</v>
      </c>
      <c r="O18" s="160" t="str">
        <f t="shared" si="6"/>
        <v/>
      </c>
      <c r="P18" s="161" t="str">
        <f t="shared" si="6"/>
        <v/>
      </c>
      <c r="R18" s="38" t="str">
        <f t="shared" si="5"/>
        <v/>
      </c>
      <c r="S18" s="141" t="str">
        <f>IF(AND(K18="",ΠΕΡΙΦΕΡΕΙΑ!B2&lt;&gt;"Καθόλου"),T4,"")</f>
        <v/>
      </c>
    </row>
    <row r="19" spans="1:22" ht="16.5" customHeight="1" x14ac:dyDescent="0.3">
      <c r="A19" s="27" t="str">
        <f t="shared" si="0"/>
        <v>F06</v>
      </c>
      <c r="B19" s="165" t="str">
        <f>ΓΕΝΙΚΑ!$C$4</f>
        <v>VODAFONE</v>
      </c>
      <c r="C19" s="31">
        <f>IF(R19="",IF(ΓΕΝΙΚΑ!$B$21="ΝΑΙ",14666,""),"")</f>
        <v>14666</v>
      </c>
      <c r="D19" s="148" t="str">
        <f>IF(ΓΕΝΙΚΑ!$B$21="ΝΑΙ","Π. ΑΤΤΙΚΗΣ","")</f>
        <v>Π. ΑΤΤΙΚΗΣ</v>
      </c>
      <c r="E19" s="8" t="s">
        <v>38</v>
      </c>
      <c r="F19" s="8">
        <v>95</v>
      </c>
      <c r="G19" s="54">
        <v>290.67543540784675</v>
      </c>
      <c r="H19" s="106">
        <f t="shared" si="1"/>
        <v>290.68</v>
      </c>
      <c r="I19" s="54">
        <v>191.32456459215325</v>
      </c>
      <c r="J19" s="71">
        <f t="shared" si="2"/>
        <v>191.32</v>
      </c>
      <c r="K19" s="30">
        <f t="shared" si="3"/>
        <v>482</v>
      </c>
      <c r="L19" s="57"/>
      <c r="M19" s="191" t="str">
        <f t="shared" si="4"/>
        <v>N/A</v>
      </c>
      <c r="N19" s="160">
        <f t="shared" si="6"/>
        <v>0</v>
      </c>
      <c r="O19" s="160" t="str">
        <f t="shared" si="6"/>
        <v/>
      </c>
      <c r="P19" s="161" t="str">
        <f t="shared" si="6"/>
        <v/>
      </c>
      <c r="R19" s="38" t="str">
        <f t="shared" si="5"/>
        <v/>
      </c>
      <c r="S19" s="141" t="str">
        <f>IF(AND(K19="",ΠΕΡΙΦΕΡΕΙΑ!B3&lt;&gt;"Καθόλου"),T5,"")</f>
        <v/>
      </c>
    </row>
    <row r="20" spans="1:22" ht="16.5" customHeight="1" x14ac:dyDescent="0.3">
      <c r="A20" s="27" t="str">
        <f t="shared" si="0"/>
        <v>F06</v>
      </c>
      <c r="B20" s="165" t="str">
        <f>ΓΕΝΙΚΑ!$C$4</f>
        <v>VODAFONE</v>
      </c>
      <c r="C20" s="146">
        <f>IF(R20="",IF(ΓΕΝΙΚΑ!$B$21="ΝΑΙ",14668,""),"")</f>
        <v>14668</v>
      </c>
      <c r="D20" s="147" t="str">
        <f>IF(ΓΕΝΙΚΑ!$B$21="ΝΑΙ","Π. ΒΟΡΕΙΟΥ ΑΙΓΑΙΟΥ","")</f>
        <v>Π. ΒΟΡΕΙΟΥ ΑΙΓΑΙΟΥ</v>
      </c>
      <c r="E20" s="8" t="s">
        <v>402</v>
      </c>
      <c r="F20" s="8">
        <v>95</v>
      </c>
      <c r="G20" s="54">
        <v>208.74577898679729</v>
      </c>
      <c r="H20" s="106">
        <f t="shared" si="1"/>
        <v>208.75</v>
      </c>
      <c r="I20" s="54">
        <v>130.25422101320271</v>
      </c>
      <c r="J20" s="71">
        <f t="shared" si="2"/>
        <v>130.25</v>
      </c>
      <c r="K20" s="30">
        <f t="shared" si="3"/>
        <v>339</v>
      </c>
      <c r="L20" s="57"/>
      <c r="M20" s="191" t="str">
        <f t="shared" si="4"/>
        <v>N/A</v>
      </c>
      <c r="N20" s="160">
        <f t="shared" si="6"/>
        <v>0</v>
      </c>
      <c r="O20" s="160" t="str">
        <f t="shared" si="6"/>
        <v/>
      </c>
      <c r="P20" s="161" t="str">
        <f t="shared" si="6"/>
        <v/>
      </c>
      <c r="R20" s="38" t="str">
        <f t="shared" si="5"/>
        <v/>
      </c>
      <c r="S20" s="141" t="str">
        <f>IF(AND(K20="",ΠΕΡΙΦΕΡΕΙΑ!B4&lt;&gt;"Καθόλου"),T6,"")</f>
        <v/>
      </c>
    </row>
    <row r="21" spans="1:22" ht="16.5" customHeight="1" x14ac:dyDescent="0.3">
      <c r="A21" s="27" t="str">
        <f t="shared" si="0"/>
        <v>F06</v>
      </c>
      <c r="B21" s="165" t="str">
        <f>ΓΕΝΙΚΑ!$C$4</f>
        <v>VODAFONE</v>
      </c>
      <c r="C21" s="31">
        <f>IF(R21="",IF(ΓΕΝΙΚΑ!$B$21="ΝΑΙ",14670,""),"")</f>
        <v>14670</v>
      </c>
      <c r="D21" s="148" t="str">
        <f>IF(ΓΕΝΙΚΑ!$B$21="ΝΑΙ","Π. ΔΥΤΙΚΗΣ ΕΛΛΑΔΑΣ","")</f>
        <v>Π. ΔΥΤΙΚΗΣ ΕΛΛΑΔΑΣ</v>
      </c>
      <c r="E21" s="8" t="s">
        <v>403</v>
      </c>
      <c r="F21" s="8">
        <v>95</v>
      </c>
      <c r="G21" s="54">
        <v>280.61352106873005</v>
      </c>
      <c r="H21" s="106">
        <f t="shared" si="1"/>
        <v>280.61</v>
      </c>
      <c r="I21" s="54">
        <v>173.38647893126995</v>
      </c>
      <c r="J21" s="71">
        <f t="shared" si="2"/>
        <v>173.39</v>
      </c>
      <c r="K21" s="30">
        <f t="shared" si="3"/>
        <v>454</v>
      </c>
      <c r="L21" s="57"/>
      <c r="M21" s="191" t="str">
        <f t="shared" si="4"/>
        <v>N/A</v>
      </c>
      <c r="N21" s="160">
        <f t="shared" si="6"/>
        <v>0</v>
      </c>
      <c r="O21" s="160" t="str">
        <f t="shared" si="6"/>
        <v/>
      </c>
      <c r="P21" s="161" t="str">
        <f t="shared" si="6"/>
        <v/>
      </c>
      <c r="R21" s="38" t="str">
        <f t="shared" si="5"/>
        <v/>
      </c>
      <c r="S21" s="141" t="str">
        <f>IF(AND(K21="",ΠΕΡΙΦΕΡΕΙΑ!B5&lt;&gt;"Καθόλου"),T7,"")</f>
        <v/>
      </c>
    </row>
    <row r="22" spans="1:22" ht="16.5" customHeight="1" x14ac:dyDescent="0.3">
      <c r="A22" s="27" t="str">
        <f t="shared" si="0"/>
        <v>F06</v>
      </c>
      <c r="B22" s="165" t="str">
        <f>ΓΕΝΙΚΑ!$C$4</f>
        <v>VODAFONE</v>
      </c>
      <c r="C22" s="146">
        <f>IF(R22="",IF(ΓΕΝΙΚΑ!$B$21="ΝΑΙ",14672,""),"")</f>
        <v>14672</v>
      </c>
      <c r="D22" s="147" t="str">
        <f>IF(ΓΕΝΙΚΑ!$B$21="ΝΑΙ","Π. ΔΥΤΙΚΗΣ ΜΑΚΕΔΟΝΙΑΣ","")</f>
        <v>Π. ΔΥΤΙΚΗΣ ΜΑΚΕΔΟΝΙΑΣ</v>
      </c>
      <c r="E22" s="8" t="s">
        <v>404</v>
      </c>
      <c r="F22" s="8">
        <v>95</v>
      </c>
      <c r="G22" s="54">
        <v>273.14001720782812</v>
      </c>
      <c r="H22" s="106">
        <f t="shared" si="1"/>
        <v>273.14</v>
      </c>
      <c r="I22" s="54">
        <v>210.85998279217188</v>
      </c>
      <c r="J22" s="71">
        <f t="shared" si="2"/>
        <v>210.86</v>
      </c>
      <c r="K22" s="30">
        <f t="shared" si="3"/>
        <v>484</v>
      </c>
      <c r="L22" s="57"/>
      <c r="M22" s="191" t="str">
        <f t="shared" si="4"/>
        <v>N/A</v>
      </c>
      <c r="N22" s="160">
        <f t="shared" si="6"/>
        <v>0</v>
      </c>
      <c r="O22" s="160" t="str">
        <f t="shared" si="6"/>
        <v/>
      </c>
      <c r="P22" s="161" t="str">
        <f t="shared" si="6"/>
        <v/>
      </c>
      <c r="R22" s="38" t="str">
        <f t="shared" si="5"/>
        <v/>
      </c>
      <c r="S22" s="141" t="str">
        <f>IF(AND(K22="",ΠΕΡΙΦΕΡΕΙΑ!B6&lt;&gt;"Καθόλου"),T8,"")</f>
        <v/>
      </c>
    </row>
    <row r="23" spans="1:22" ht="16.5" customHeight="1" x14ac:dyDescent="0.3">
      <c r="A23" s="27" t="str">
        <f t="shared" si="0"/>
        <v>F06</v>
      </c>
      <c r="B23" s="165" t="str">
        <f>ΓΕΝΙΚΑ!$C$4</f>
        <v>VODAFONE</v>
      </c>
      <c r="C23" s="31">
        <f>IF(R23="",IF(ΓΕΝΙΚΑ!$B$21="ΝΑΙ",14674,""),"")</f>
        <v>14674</v>
      </c>
      <c r="D23" s="148" t="str">
        <f>IF(ΓΕΝΙΚΑ!$B$21="ΝΑΙ","Π. ΗΠΕΙΡΟΥ","")</f>
        <v>Π. ΗΠΕΙΡΟΥ</v>
      </c>
      <c r="E23" s="8" t="s">
        <v>405</v>
      </c>
      <c r="F23" s="8">
        <v>95</v>
      </c>
      <c r="G23" s="54">
        <v>297.39169752460862</v>
      </c>
      <c r="H23" s="106">
        <f t="shared" si="1"/>
        <v>297.39</v>
      </c>
      <c r="I23" s="54">
        <v>177.60830247539138</v>
      </c>
      <c r="J23" s="71">
        <f t="shared" si="2"/>
        <v>177.61</v>
      </c>
      <c r="K23" s="30">
        <f t="shared" si="3"/>
        <v>475</v>
      </c>
      <c r="L23" s="57"/>
      <c r="M23" s="191" t="str">
        <f t="shared" si="4"/>
        <v>N/A</v>
      </c>
      <c r="N23" s="160">
        <f t="shared" si="6"/>
        <v>0</v>
      </c>
      <c r="O23" s="160" t="str">
        <f t="shared" si="6"/>
        <v/>
      </c>
      <c r="P23" s="161" t="str">
        <f t="shared" si="6"/>
        <v/>
      </c>
      <c r="R23" s="38" t="str">
        <f t="shared" si="5"/>
        <v/>
      </c>
      <c r="S23" s="141" t="str">
        <f>IF(AND(K23="",ΠΕΡΙΦΕΡΕΙΑ!B7&lt;&gt;"Καθόλου"),T9,"")</f>
        <v/>
      </c>
    </row>
    <row r="24" spans="1:22" ht="16.5" customHeight="1" x14ac:dyDescent="0.3">
      <c r="A24" s="27" t="str">
        <f t="shared" si="0"/>
        <v>F06</v>
      </c>
      <c r="B24" s="165" t="str">
        <f>ΓΕΝΙΚΑ!$C$4</f>
        <v>VODAFONE</v>
      </c>
      <c r="C24" s="146">
        <f>IF(R24="",IF(ΓΕΝΙΚΑ!$B$21="ΝΑΙ",14676,""),"")</f>
        <v>14676</v>
      </c>
      <c r="D24" s="147" t="str">
        <f>IF(ΓΕΝΙΚΑ!$B$21="ΝΑΙ","Π. ΘΕΣΣΑΛΙΑΣ","")</f>
        <v>Π. ΘΕΣΣΑΛΙΑΣ</v>
      </c>
      <c r="E24" s="8" t="s">
        <v>406</v>
      </c>
      <c r="F24" s="8">
        <v>95</v>
      </c>
      <c r="G24" s="54">
        <v>306.89865714722038</v>
      </c>
      <c r="H24" s="106">
        <f t="shared" si="1"/>
        <v>306.89999999999998</v>
      </c>
      <c r="I24" s="54">
        <v>171.10134285277962</v>
      </c>
      <c r="J24" s="71">
        <f t="shared" si="2"/>
        <v>171.1</v>
      </c>
      <c r="K24" s="30">
        <f t="shared" si="3"/>
        <v>478</v>
      </c>
      <c r="L24" s="57"/>
      <c r="M24" s="191" t="str">
        <f t="shared" si="4"/>
        <v>N/A</v>
      </c>
      <c r="N24" s="160">
        <f t="shared" si="6"/>
        <v>0</v>
      </c>
      <c r="O24" s="160" t="str">
        <f t="shared" si="6"/>
        <v/>
      </c>
      <c r="P24" s="161" t="str">
        <f t="shared" si="6"/>
        <v/>
      </c>
      <c r="R24" s="38" t="str">
        <f t="shared" si="5"/>
        <v/>
      </c>
      <c r="S24" s="141" t="str">
        <f>IF(AND(K24="",ΠΕΡΙΦΕΡΕΙΑ!B8&lt;&gt;"Καθόλου"),T10,"")</f>
        <v/>
      </c>
    </row>
    <row r="25" spans="1:22" ht="16.5" customHeight="1" x14ac:dyDescent="0.3">
      <c r="A25" s="27" t="str">
        <f t="shared" si="0"/>
        <v>F06</v>
      </c>
      <c r="B25" s="165" t="str">
        <f>ΓΕΝΙΚΑ!$C$4</f>
        <v>VODAFONE</v>
      </c>
      <c r="C25" s="31">
        <f>IF(R25="",IF(ΓΕΝΙΚΑ!$B$21="ΝΑΙ",14678,""),"")</f>
        <v>14678</v>
      </c>
      <c r="D25" s="148" t="str">
        <f>IF(ΓΕΝΙΚΑ!$B$21="ΝΑΙ","Π. ΙΟΝΙΩΝ ΝΗΣΩΝ","")</f>
        <v>Π. ΙΟΝΙΩΝ ΝΗΣΩΝ</v>
      </c>
      <c r="E25" s="8" t="s">
        <v>407</v>
      </c>
      <c r="F25" s="8">
        <v>95</v>
      </c>
      <c r="G25" s="54">
        <v>287.22775726904644</v>
      </c>
      <c r="H25" s="106">
        <f t="shared" si="1"/>
        <v>287.23</v>
      </c>
      <c r="I25" s="54">
        <v>170.77224273095356</v>
      </c>
      <c r="J25" s="71">
        <f t="shared" si="2"/>
        <v>170.77</v>
      </c>
      <c r="K25" s="30">
        <f t="shared" si="3"/>
        <v>458</v>
      </c>
      <c r="L25" s="57"/>
      <c r="M25" s="191" t="str">
        <f t="shared" si="4"/>
        <v>N/A</v>
      </c>
      <c r="N25" s="160">
        <f t="shared" si="6"/>
        <v>0</v>
      </c>
      <c r="O25" s="160" t="str">
        <f t="shared" si="6"/>
        <v/>
      </c>
      <c r="P25" s="161" t="str">
        <f t="shared" si="6"/>
        <v/>
      </c>
      <c r="R25" s="38" t="str">
        <f t="shared" si="5"/>
        <v/>
      </c>
      <c r="S25" s="141" t="str">
        <f>IF(AND(K25="",ΠΕΡΙΦΕΡΕΙΑ!B9&lt;&gt;"Καθόλου"),T11,"")</f>
        <v/>
      </c>
    </row>
    <row r="26" spans="1:22" ht="16.5" customHeight="1" x14ac:dyDescent="0.3">
      <c r="A26" s="27" t="str">
        <f t="shared" si="0"/>
        <v>F06</v>
      </c>
      <c r="B26" s="165" t="str">
        <f>ΓΕΝΙΚΑ!$C$4</f>
        <v>VODAFONE</v>
      </c>
      <c r="C26" s="146">
        <f>IF(R26="",IF(ΓΕΝΙΚΑ!$B$21="ΝΑΙ",14680,""),"")</f>
        <v>14680</v>
      </c>
      <c r="D26" s="147" t="str">
        <f>IF(ΓΕΝΙΚΑ!$B$21="ΝΑΙ","Π. ΚΕΝΤΡΙΚΗΣ ΜΑΚΕΔΟΝΙΑΣ","")</f>
        <v>Π. ΚΕΝΤΡΙΚΗΣ ΜΑΚΕΔΟΝΙΑΣ</v>
      </c>
      <c r="E26" s="8" t="s">
        <v>408</v>
      </c>
      <c r="F26" s="8">
        <v>95</v>
      </c>
      <c r="G26" s="54">
        <v>272.53441942657292</v>
      </c>
      <c r="H26" s="106">
        <f t="shared" si="1"/>
        <v>272.52999999999997</v>
      </c>
      <c r="I26" s="54">
        <v>176.46558057342708</v>
      </c>
      <c r="J26" s="71">
        <f t="shared" si="2"/>
        <v>176.47</v>
      </c>
      <c r="K26" s="30">
        <f t="shared" si="3"/>
        <v>449</v>
      </c>
      <c r="L26" s="57"/>
      <c r="M26" s="191" t="str">
        <f t="shared" si="4"/>
        <v>N/A</v>
      </c>
      <c r="N26" s="160">
        <f t="shared" si="6"/>
        <v>0</v>
      </c>
      <c r="O26" s="160" t="str">
        <f t="shared" si="6"/>
        <v/>
      </c>
      <c r="P26" s="161" t="str">
        <f t="shared" si="6"/>
        <v/>
      </c>
      <c r="R26" s="38" t="str">
        <f t="shared" si="5"/>
        <v/>
      </c>
      <c r="S26" s="141" t="str">
        <f>IF(AND(K26="",ΠΕΡΙΦΕΡΕΙΑ!B10&lt;&gt;"Καθόλου"),T12,"")</f>
        <v/>
      </c>
    </row>
    <row r="27" spans="1:22" ht="16.5" customHeight="1" x14ac:dyDescent="0.3">
      <c r="A27" s="27" t="str">
        <f t="shared" si="0"/>
        <v>F06</v>
      </c>
      <c r="B27" s="165" t="str">
        <f>ΓΕΝΙΚΑ!$C$4</f>
        <v>VODAFONE</v>
      </c>
      <c r="C27" s="31">
        <f>IF(R27="",IF(ΓΕΝΙΚΑ!$B$21="ΝΑΙ",14682,""),"")</f>
        <v>14682</v>
      </c>
      <c r="D27" s="148" t="str">
        <f>IF(ΓΕΝΙΚΑ!$B$21="ΝΑΙ","Π. ΚΡΗΤΗΣ","")</f>
        <v>Π. ΚΡΗΤΗΣ</v>
      </c>
      <c r="E27" s="8" t="s">
        <v>409</v>
      </c>
      <c r="F27" s="8">
        <v>95</v>
      </c>
      <c r="G27" s="54">
        <v>199.1252299766918</v>
      </c>
      <c r="H27" s="106">
        <f t="shared" si="1"/>
        <v>199.13</v>
      </c>
      <c r="I27" s="54">
        <v>93.874770023308201</v>
      </c>
      <c r="J27" s="71">
        <f t="shared" si="2"/>
        <v>93.87</v>
      </c>
      <c r="K27" s="30">
        <f t="shared" si="3"/>
        <v>293</v>
      </c>
      <c r="L27" s="57"/>
      <c r="M27" s="191" t="str">
        <f t="shared" si="4"/>
        <v>N/A</v>
      </c>
      <c r="N27" s="160">
        <f t="shared" si="6"/>
        <v>0</v>
      </c>
      <c r="O27" s="160" t="str">
        <f t="shared" si="6"/>
        <v/>
      </c>
      <c r="P27" s="161" t="str">
        <f t="shared" si="6"/>
        <v/>
      </c>
      <c r="R27" s="38" t="str">
        <f t="shared" si="5"/>
        <v/>
      </c>
      <c r="S27" s="141" t="str">
        <f>IF(AND(K27="",ΠΕΡΙΦΕΡΕΙΑ!B11&lt;&gt;"Καθόλου"),T13,"")</f>
        <v/>
      </c>
    </row>
    <row r="28" spans="1:22" ht="16.5" customHeight="1" x14ac:dyDescent="0.3">
      <c r="A28" s="27" t="str">
        <f t="shared" si="0"/>
        <v>F06</v>
      </c>
      <c r="B28" s="165" t="str">
        <f>ΓΕΝΙΚΑ!$C$4</f>
        <v>VODAFONE</v>
      </c>
      <c r="C28" s="146">
        <f>IF(R28="",IF(ΓΕΝΙΚΑ!$B$21="ΝΑΙ",14684,""),"")</f>
        <v>14684</v>
      </c>
      <c r="D28" s="147" t="str">
        <f>IF(ΓΕΝΙΚΑ!$B$21="ΝΑΙ","Π. ΝΟΤΙΟΥ ΑΙΓΑΙΟΥ","")</f>
        <v>Π. ΝΟΤΙΟΥ ΑΙΓΑΙΟΥ</v>
      </c>
      <c r="E28" s="8" t="s">
        <v>410</v>
      </c>
      <c r="F28" s="8">
        <v>95</v>
      </c>
      <c r="G28" s="54">
        <v>326.17980857245163</v>
      </c>
      <c r="H28" s="106">
        <f t="shared" si="1"/>
        <v>326.18</v>
      </c>
      <c r="I28" s="54">
        <v>175.82019142754837</v>
      </c>
      <c r="J28" s="71">
        <f t="shared" si="2"/>
        <v>175.82</v>
      </c>
      <c r="K28" s="30">
        <f t="shared" si="3"/>
        <v>502</v>
      </c>
      <c r="L28" s="57"/>
      <c r="M28" s="191" t="str">
        <f t="shared" si="4"/>
        <v>N/A</v>
      </c>
      <c r="N28" s="160">
        <f t="shared" si="6"/>
        <v>0</v>
      </c>
      <c r="O28" s="160" t="str">
        <f t="shared" si="6"/>
        <v/>
      </c>
      <c r="P28" s="161" t="str">
        <f t="shared" si="6"/>
        <v/>
      </c>
      <c r="R28" s="38" t="str">
        <f t="shared" si="5"/>
        <v/>
      </c>
      <c r="S28" s="141" t="str">
        <f>IF(AND(K28="",ΠΕΡΙΦΕΡΕΙΑ!B12&lt;&gt;"Καθόλου"),T14,"")</f>
        <v/>
      </c>
    </row>
    <row r="29" spans="1:22" ht="16.5" customHeight="1" x14ac:dyDescent="0.3">
      <c r="A29" s="27" t="str">
        <f t="shared" si="0"/>
        <v>F06</v>
      </c>
      <c r="B29" s="165" t="str">
        <f>ΓΕΝΙΚΑ!$C$4</f>
        <v>VODAFONE</v>
      </c>
      <c r="C29" s="31">
        <f>IF(R29="",IF(ΓΕΝΙΚΑ!$B$21="ΝΑΙ",14686,""),"")</f>
        <v>14686</v>
      </c>
      <c r="D29" s="148" t="str">
        <f>IF(ΓΕΝΙΚΑ!$B$21="ΝΑΙ","Π. ΠΕΛΟΠΟΝΝΗΣΟΥ","")</f>
        <v>Π. ΠΕΛΟΠΟΝΝΗΣΟΥ</v>
      </c>
      <c r="E29" s="8" t="s">
        <v>411</v>
      </c>
      <c r="F29" s="8">
        <v>95</v>
      </c>
      <c r="G29" s="54">
        <v>261.86212954955255</v>
      </c>
      <c r="H29" s="106">
        <f t="shared" si="1"/>
        <v>261.86</v>
      </c>
      <c r="I29" s="54">
        <v>134.13787045044745</v>
      </c>
      <c r="J29" s="71">
        <f t="shared" si="2"/>
        <v>134.13999999999999</v>
      </c>
      <c r="K29" s="30">
        <f t="shared" si="3"/>
        <v>396</v>
      </c>
      <c r="L29" s="57"/>
      <c r="M29" s="191" t="str">
        <f t="shared" si="4"/>
        <v>N/A</v>
      </c>
      <c r="N29" s="160">
        <f t="shared" si="6"/>
        <v>0</v>
      </c>
      <c r="O29" s="160" t="str">
        <f t="shared" si="6"/>
        <v/>
      </c>
      <c r="P29" s="161" t="str">
        <f t="shared" si="6"/>
        <v/>
      </c>
      <c r="R29" s="38" t="str">
        <f t="shared" si="5"/>
        <v/>
      </c>
      <c r="S29" s="141" t="str">
        <f>IF(AND(K29="",ΠΕΡΙΦΕΡΕΙΑ!B13&lt;&gt;"Καθόλου"),T15,"")</f>
        <v/>
      </c>
    </row>
    <row r="30" spans="1:22" ht="16.5" customHeight="1" thickBot="1" x14ac:dyDescent="0.35">
      <c r="A30" s="28" t="str">
        <f t="shared" si="0"/>
        <v>F06</v>
      </c>
      <c r="B30" s="165" t="str">
        <f>ΓΕΝΙΚΑ!$C$4</f>
        <v>VODAFONE</v>
      </c>
      <c r="C30" s="149">
        <f>IF(R30="",IF(ΓΕΝΙΚΑ!$B$21="ΝΑΙ",14688,""),"")</f>
        <v>14688</v>
      </c>
      <c r="D30" s="150" t="str">
        <f>IF(ΓΕΝΙΚΑ!$B$21="ΝΑΙ","Π. ΣΤΕΡΕΑΣ ΕΛΛΑΔΑΣ","")</f>
        <v>Π. ΣΤΕΡΕΑΣ ΕΛΛΑΔΑΣ</v>
      </c>
      <c r="E30" s="7" t="s">
        <v>412</v>
      </c>
      <c r="F30" s="7">
        <v>95</v>
      </c>
      <c r="G30" s="55">
        <v>219.31497514574195</v>
      </c>
      <c r="H30" s="106">
        <f t="shared" si="1"/>
        <v>219.31</v>
      </c>
      <c r="I30" s="55">
        <v>136.68502485425805</v>
      </c>
      <c r="J30" s="71">
        <f t="shared" si="2"/>
        <v>136.69</v>
      </c>
      <c r="K30" s="30">
        <f t="shared" si="3"/>
        <v>356</v>
      </c>
      <c r="L30" s="58"/>
      <c r="M30" s="191" t="str">
        <f t="shared" si="4"/>
        <v>N/A</v>
      </c>
      <c r="N30" s="162">
        <f t="shared" si="6"/>
        <v>0</v>
      </c>
      <c r="O30" s="162" t="str">
        <f t="shared" si="6"/>
        <v/>
      </c>
      <c r="P30" s="163" t="str">
        <f t="shared" si="6"/>
        <v/>
      </c>
      <c r="R30" s="38" t="str">
        <f t="shared" si="5"/>
        <v/>
      </c>
      <c r="S30" s="142" t="str">
        <f>IF(AND(K30="",ΠΕΡΙΦΕΡΕΙΑ!B14&lt;&gt;"Καθόλου"),T16,"")</f>
        <v/>
      </c>
      <c r="V30" s="139">
        <v>2</v>
      </c>
    </row>
  </sheetData>
  <sheetProtection algorithmName="SHA-512" hashValue="h92jhkZwEWGxhKrG5AR0DH5O8+Zd2xqpcA5d8tr9gxKLAx5gwL9hKikbbPm3PzcFBZY9YtZEqF3jiLbSx+xGDw==" saltValue="2u9mQQlGjOeaqcOSCEMrhg==" spinCount="100000" sheet="1" objects="1" scenarios="1"/>
  <conditionalFormatting sqref="R3:R30">
    <cfRule type="cellIs" dxfId="0" priority="1" operator="equal">
      <formula>"ΣΦΑΛΜΑ"</formula>
    </cfRule>
  </conditionalFormatting>
  <dataValidations count="2">
    <dataValidation type="list" allowBlank="1" showInputMessage="1" showErrorMessage="1" sqref="F3:F30" xr:uid="{00000000-0002-0000-0900-000000000000}">
      <formula1>Percent.</formula1>
    </dataValidation>
    <dataValidation allowBlank="1" showInputMessage="1" showErrorMessage="1" sqref="B3:B30" xr:uid="{00000000-0002-0000-0900-000001000000}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/>
  <dimension ref="A2:N23"/>
  <sheetViews>
    <sheetView workbookViewId="0">
      <selection activeCell="D7" sqref="D7"/>
    </sheetView>
  </sheetViews>
  <sheetFormatPr defaultRowHeight="14.4" x14ac:dyDescent="0.3"/>
  <cols>
    <col min="1" max="2" width="21.88671875" customWidth="1"/>
    <col min="3" max="3" width="26.44140625" customWidth="1"/>
    <col min="4" max="4" width="26.33203125" customWidth="1"/>
    <col min="5" max="5" width="29.44140625" customWidth="1"/>
    <col min="6" max="6" width="19.88671875" customWidth="1"/>
    <col min="7" max="7" width="23.5546875" customWidth="1"/>
    <col min="8" max="8" width="14.5546875" bestFit="1" customWidth="1"/>
    <col min="9" max="9" width="26.109375" customWidth="1"/>
    <col min="10" max="10" width="16.5546875" bestFit="1" customWidth="1"/>
    <col min="12" max="12" width="20.88671875" bestFit="1" customWidth="1"/>
    <col min="13" max="13" width="12" bestFit="1" customWidth="1"/>
  </cols>
  <sheetData>
    <row r="2" spans="1:14" x14ac:dyDescent="0.3">
      <c r="A2" s="1" t="s">
        <v>0</v>
      </c>
      <c r="B2" s="1" t="s">
        <v>448</v>
      </c>
      <c r="C2" s="1" t="s">
        <v>3</v>
      </c>
      <c r="D2" s="1" t="s">
        <v>28</v>
      </c>
      <c r="E2" s="1" t="s">
        <v>32</v>
      </c>
      <c r="F2" s="1" t="s">
        <v>416</v>
      </c>
      <c r="G2" s="11" t="s">
        <v>475</v>
      </c>
      <c r="H2" s="1" t="s">
        <v>421</v>
      </c>
      <c r="I2" s="1" t="s">
        <v>427</v>
      </c>
      <c r="J2" s="1" t="s">
        <v>431</v>
      </c>
      <c r="K2" s="1" t="s">
        <v>434</v>
      </c>
      <c r="L2" s="1" t="s">
        <v>435</v>
      </c>
      <c r="M2" s="1" t="s">
        <v>440</v>
      </c>
      <c r="N2" s="1" t="s">
        <v>460</v>
      </c>
    </row>
    <row r="3" spans="1:14" x14ac:dyDescent="0.3">
      <c r="A3" t="s">
        <v>4</v>
      </c>
      <c r="B3" t="s">
        <v>23</v>
      </c>
      <c r="C3" t="s">
        <v>5</v>
      </c>
      <c r="D3" t="s">
        <v>29</v>
      </c>
      <c r="E3" t="s">
        <v>33</v>
      </c>
      <c r="F3" t="s">
        <v>417</v>
      </c>
      <c r="G3" t="s">
        <v>417</v>
      </c>
      <c r="H3" t="s">
        <v>422</v>
      </c>
      <c r="J3" t="s">
        <v>432</v>
      </c>
      <c r="L3" t="s">
        <v>436</v>
      </c>
      <c r="M3" t="s">
        <v>441</v>
      </c>
      <c r="N3" t="s">
        <v>461</v>
      </c>
    </row>
    <row r="4" spans="1:14" x14ac:dyDescent="0.3">
      <c r="A4" t="s">
        <v>6</v>
      </c>
      <c r="B4" t="s">
        <v>2</v>
      </c>
      <c r="C4" t="s">
        <v>7</v>
      </c>
      <c r="D4" t="s">
        <v>876</v>
      </c>
      <c r="E4" t="s">
        <v>34</v>
      </c>
      <c r="F4" t="s">
        <v>418</v>
      </c>
      <c r="G4" t="s">
        <v>418</v>
      </c>
      <c r="H4" t="s">
        <v>423</v>
      </c>
      <c r="I4" t="s">
        <v>428</v>
      </c>
      <c r="J4" t="s">
        <v>433</v>
      </c>
      <c r="K4">
        <v>2</v>
      </c>
      <c r="L4" t="s">
        <v>437</v>
      </c>
      <c r="M4" t="s">
        <v>442</v>
      </c>
      <c r="N4" t="s">
        <v>462</v>
      </c>
    </row>
    <row r="5" spans="1:14" x14ac:dyDescent="0.3">
      <c r="A5" t="s">
        <v>8</v>
      </c>
      <c r="C5" t="s">
        <v>9</v>
      </c>
      <c r="D5" t="s">
        <v>877</v>
      </c>
      <c r="E5" t="s">
        <v>35</v>
      </c>
      <c r="H5" t="s">
        <v>424</v>
      </c>
      <c r="I5" t="s">
        <v>429</v>
      </c>
      <c r="L5" t="s">
        <v>438</v>
      </c>
    </row>
    <row r="6" spans="1:14" x14ac:dyDescent="0.3">
      <c r="A6" t="s">
        <v>10</v>
      </c>
      <c r="C6" t="s">
        <v>11</v>
      </c>
      <c r="D6" t="s">
        <v>871</v>
      </c>
      <c r="H6" t="s">
        <v>425</v>
      </c>
      <c r="I6" t="s">
        <v>430</v>
      </c>
      <c r="L6" t="s">
        <v>439</v>
      </c>
    </row>
    <row r="7" spans="1:14" x14ac:dyDescent="0.3">
      <c r="A7" t="s">
        <v>12</v>
      </c>
      <c r="H7" t="s">
        <v>426</v>
      </c>
      <c r="I7" t="s">
        <v>451</v>
      </c>
    </row>
    <row r="8" spans="1:14" x14ac:dyDescent="0.3">
      <c r="A8" t="s">
        <v>13</v>
      </c>
      <c r="H8" t="s">
        <v>873</v>
      </c>
    </row>
    <row r="9" spans="1:14" x14ac:dyDescent="0.3">
      <c r="A9" t="s">
        <v>14</v>
      </c>
    </row>
    <row r="10" spans="1:14" x14ac:dyDescent="0.3">
      <c r="A10" t="s">
        <v>15</v>
      </c>
    </row>
    <row r="11" spans="1:14" x14ac:dyDescent="0.3">
      <c r="A11" t="s">
        <v>16</v>
      </c>
    </row>
    <row r="12" spans="1:14" x14ac:dyDescent="0.3">
      <c r="A12" t="s">
        <v>523</v>
      </c>
    </row>
    <row r="13" spans="1:14" x14ac:dyDescent="0.3">
      <c r="A13" t="s">
        <v>17</v>
      </c>
    </row>
    <row r="14" spans="1:14" x14ac:dyDescent="0.3">
      <c r="A14" t="s">
        <v>18</v>
      </c>
    </row>
    <row r="15" spans="1:14" x14ac:dyDescent="0.3">
      <c r="A15" t="s">
        <v>19</v>
      </c>
    </row>
    <row r="16" spans="1:14" x14ac:dyDescent="0.3">
      <c r="A16" t="s">
        <v>20</v>
      </c>
    </row>
    <row r="17" spans="1:1" x14ac:dyDescent="0.3">
      <c r="A17" t="s">
        <v>21</v>
      </c>
    </row>
    <row r="18" spans="1:1" x14ac:dyDescent="0.3">
      <c r="A18" t="s">
        <v>22</v>
      </c>
    </row>
    <row r="19" spans="1:1" x14ac:dyDescent="0.3">
      <c r="A19" t="s">
        <v>23</v>
      </c>
    </row>
    <row r="20" spans="1:1" x14ac:dyDescent="0.3">
      <c r="A20" t="s">
        <v>2</v>
      </c>
    </row>
    <row r="21" spans="1:1" x14ac:dyDescent="0.3">
      <c r="A21" t="s">
        <v>24</v>
      </c>
    </row>
    <row r="22" spans="1:1" x14ac:dyDescent="0.3">
      <c r="A22" t="s">
        <v>25</v>
      </c>
    </row>
    <row r="23" spans="1:1" x14ac:dyDescent="0.3">
      <c r="A23" t="s">
        <v>26</v>
      </c>
    </row>
  </sheetData>
  <pageMargins left="0.7" right="0.7" top="0.75" bottom="0.75" header="0.3" footer="0.3"/>
  <pageSetup orientation="portrait" r:id="rId1"/>
  <headerFooter>
    <oddFooter>&amp;L&amp;1#&amp;"Calibri"&amp;7&amp;K000000C2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E15"/>
  <sheetViews>
    <sheetView showGridLines="0" showRowColHeaders="0" workbookViewId="0">
      <selection activeCell="B14" sqref="B14"/>
    </sheetView>
  </sheetViews>
  <sheetFormatPr defaultColWidth="9.109375" defaultRowHeight="14.4" x14ac:dyDescent="0.3"/>
  <cols>
    <col min="1" max="1" width="39.6640625" style="124" customWidth="1"/>
    <col min="2" max="2" width="20" style="124" customWidth="1"/>
    <col min="3" max="5" width="37.109375" style="124" hidden="1" customWidth="1"/>
    <col min="6" max="6" width="37.109375" style="124" customWidth="1"/>
    <col min="7" max="9" width="9.109375" style="124"/>
    <col min="10" max="14" width="37.109375" style="124" customWidth="1"/>
    <col min="15" max="16384" width="9.109375" style="124"/>
  </cols>
  <sheetData>
    <row r="1" spans="1:5" ht="15" thickBot="1" x14ac:dyDescent="0.35">
      <c r="A1" s="17" t="s">
        <v>30</v>
      </c>
      <c r="B1" s="18" t="s">
        <v>31</v>
      </c>
      <c r="C1" s="1" t="s">
        <v>34</v>
      </c>
      <c r="D1" s="1" t="s">
        <v>33</v>
      </c>
      <c r="E1" s="1" t="s">
        <v>35</v>
      </c>
    </row>
    <row r="2" spans="1:5" ht="15" thickTop="1" x14ac:dyDescent="0.3">
      <c r="A2" s="19" t="s">
        <v>37</v>
      </c>
      <c r="B2" s="66" t="s">
        <v>33</v>
      </c>
      <c r="C2" t="str">
        <f t="shared" ref="C2:C14" si="0">IF(B2=$C$1,A2&amp;", ","")</f>
        <v/>
      </c>
      <c r="D2" t="str">
        <f t="shared" ref="D2:D14" si="1">IF(B2=$D$1,A2&amp;", ","")</f>
        <v xml:space="preserve">ΑΝΑΤΟΛΙΚΗΣ ΜΑΚΕΔΟΝΙΑΣ ΚΑΙ ΘΡΑΚΗΣ, </v>
      </c>
      <c r="E2" t="str">
        <f t="shared" ref="E2:E14" si="2">IF(B2=$E$1,A2&amp;", ","")</f>
        <v/>
      </c>
    </row>
    <row r="3" spans="1:5" x14ac:dyDescent="0.3">
      <c r="A3" s="20" t="s">
        <v>38</v>
      </c>
      <c r="B3" s="66" t="s">
        <v>33</v>
      </c>
      <c r="C3" t="str">
        <f t="shared" si="0"/>
        <v/>
      </c>
      <c r="D3" t="str">
        <f t="shared" si="1"/>
        <v xml:space="preserve">ΑΤΤΙΚΗΣ, </v>
      </c>
      <c r="E3" t="str">
        <f t="shared" si="2"/>
        <v/>
      </c>
    </row>
    <row r="4" spans="1:5" x14ac:dyDescent="0.3">
      <c r="A4" s="20" t="s">
        <v>402</v>
      </c>
      <c r="B4" s="66" t="s">
        <v>33</v>
      </c>
      <c r="C4" t="str">
        <f t="shared" si="0"/>
        <v/>
      </c>
      <c r="D4" t="str">
        <f t="shared" si="1"/>
        <v xml:space="preserve">ΒΟΡΕΙΟΥ ΑΙΓΑΙΟΥ, </v>
      </c>
      <c r="E4" t="str">
        <f t="shared" si="2"/>
        <v/>
      </c>
    </row>
    <row r="5" spans="1:5" x14ac:dyDescent="0.3">
      <c r="A5" s="20" t="s">
        <v>403</v>
      </c>
      <c r="B5" s="66" t="s">
        <v>33</v>
      </c>
      <c r="C5" t="str">
        <f t="shared" si="0"/>
        <v/>
      </c>
      <c r="D5" t="str">
        <f t="shared" si="1"/>
        <v xml:space="preserve">ΔΥΤΙΚΗΣ ΕΛΛΑΔΑΣ, </v>
      </c>
      <c r="E5" t="str">
        <f t="shared" si="2"/>
        <v/>
      </c>
    </row>
    <row r="6" spans="1:5" x14ac:dyDescent="0.3">
      <c r="A6" s="20" t="s">
        <v>404</v>
      </c>
      <c r="B6" s="66" t="s">
        <v>33</v>
      </c>
      <c r="C6" t="str">
        <f t="shared" si="0"/>
        <v/>
      </c>
      <c r="D6" t="str">
        <f t="shared" si="1"/>
        <v xml:space="preserve">ΔΥΤΙΚΗΣ ΜΑΚΕΔΟΝΙΑΣ, </v>
      </c>
      <c r="E6" t="str">
        <f t="shared" si="2"/>
        <v/>
      </c>
    </row>
    <row r="7" spans="1:5" x14ac:dyDescent="0.3">
      <c r="A7" s="20" t="s">
        <v>405</v>
      </c>
      <c r="B7" s="66" t="s">
        <v>33</v>
      </c>
      <c r="C7" t="str">
        <f t="shared" si="0"/>
        <v/>
      </c>
      <c r="D7" t="str">
        <f t="shared" si="1"/>
        <v xml:space="preserve">ΗΠΕΙΡΟΥ, </v>
      </c>
      <c r="E7" t="str">
        <f t="shared" si="2"/>
        <v/>
      </c>
    </row>
    <row r="8" spans="1:5" x14ac:dyDescent="0.3">
      <c r="A8" s="20" t="s">
        <v>406</v>
      </c>
      <c r="B8" s="66" t="s">
        <v>33</v>
      </c>
      <c r="C8" t="str">
        <f t="shared" si="0"/>
        <v/>
      </c>
      <c r="D8" t="str">
        <f t="shared" si="1"/>
        <v xml:space="preserve">ΘΕΣΣΑΛΙΑΣ, </v>
      </c>
      <c r="E8" t="str">
        <f t="shared" si="2"/>
        <v/>
      </c>
    </row>
    <row r="9" spans="1:5" x14ac:dyDescent="0.3">
      <c r="A9" s="20" t="s">
        <v>407</v>
      </c>
      <c r="B9" s="66" t="s">
        <v>33</v>
      </c>
      <c r="C9" t="str">
        <f t="shared" si="0"/>
        <v/>
      </c>
      <c r="D9" t="str">
        <f t="shared" si="1"/>
        <v xml:space="preserve">ΙΟΝΙΩΝ ΝΗΣΩΝ, </v>
      </c>
      <c r="E9" t="str">
        <f t="shared" si="2"/>
        <v/>
      </c>
    </row>
    <row r="10" spans="1:5" x14ac:dyDescent="0.3">
      <c r="A10" s="20" t="s">
        <v>408</v>
      </c>
      <c r="B10" s="66" t="s">
        <v>33</v>
      </c>
      <c r="C10" t="str">
        <f t="shared" si="0"/>
        <v/>
      </c>
      <c r="D10" t="str">
        <f t="shared" si="1"/>
        <v xml:space="preserve">ΚΕΝΤΡΙΚΗΣ ΜΑΚΕΔΟΝΙΑΣ, </v>
      </c>
      <c r="E10" t="str">
        <f t="shared" si="2"/>
        <v/>
      </c>
    </row>
    <row r="11" spans="1:5" x14ac:dyDescent="0.3">
      <c r="A11" s="20" t="s">
        <v>409</v>
      </c>
      <c r="B11" s="66" t="s">
        <v>33</v>
      </c>
      <c r="C11" t="str">
        <f t="shared" si="0"/>
        <v/>
      </c>
      <c r="D11" t="str">
        <f t="shared" si="1"/>
        <v xml:space="preserve">ΚΡΗΤΗΣ, </v>
      </c>
      <c r="E11" t="str">
        <f t="shared" si="2"/>
        <v/>
      </c>
    </row>
    <row r="12" spans="1:5" x14ac:dyDescent="0.3">
      <c r="A12" s="20" t="s">
        <v>410</v>
      </c>
      <c r="B12" s="66" t="s">
        <v>33</v>
      </c>
      <c r="C12" t="str">
        <f t="shared" si="0"/>
        <v/>
      </c>
      <c r="D12" t="str">
        <f t="shared" si="1"/>
        <v xml:space="preserve">ΝΟΤΙΟΥ ΑΙΓΑΙΟΥ, </v>
      </c>
      <c r="E12" t="str">
        <f t="shared" si="2"/>
        <v/>
      </c>
    </row>
    <row r="13" spans="1:5" x14ac:dyDescent="0.3">
      <c r="A13" s="20" t="s">
        <v>411</v>
      </c>
      <c r="B13" s="66" t="s">
        <v>33</v>
      </c>
      <c r="C13" t="str">
        <f t="shared" si="0"/>
        <v/>
      </c>
      <c r="D13" t="str">
        <f t="shared" si="1"/>
        <v xml:space="preserve">ΠΕΛΟΠΟΝΝΗΣΟΥ, </v>
      </c>
      <c r="E13" t="str">
        <f t="shared" si="2"/>
        <v/>
      </c>
    </row>
    <row r="14" spans="1:5" ht="15" thickBot="1" x14ac:dyDescent="0.35">
      <c r="A14" s="21" t="s">
        <v>412</v>
      </c>
      <c r="B14" s="66" t="s">
        <v>33</v>
      </c>
      <c r="C14" t="str">
        <f t="shared" si="0"/>
        <v/>
      </c>
      <c r="D14" t="str">
        <f t="shared" si="1"/>
        <v xml:space="preserve">ΣΤΕΡΕΑΣ ΕΛΛΑΔΑΣ, </v>
      </c>
      <c r="E14" t="str">
        <f t="shared" si="2"/>
        <v/>
      </c>
    </row>
    <row r="15" spans="1:5" x14ac:dyDescent="0.3">
      <c r="C15" s="124" t="str">
        <f>CONCATENATE(C2,C3,C4,C5,C6,C7,C8,C9,C10,C11,C12,C13,C14)</f>
        <v/>
      </c>
      <c r="D15" s="124" t="str">
        <f>CONCATENATE(D2,D3,D4,D5,D6,D7,D8,D9,D10,D11,D12,D13,D14)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E15" s="124" t="str">
        <f>CONCATENATE(E2,E3,E4,E5,E6,E7,E8,E9,E10,E11,E12,E13,E14)</f>
        <v/>
      </c>
    </row>
  </sheetData>
  <sheetProtection algorithmName="SHA-512" hashValue="k7RDmjie6Ghe44S7UA7OsFQRk+u9ywnXteq2w8e5Sw0HHDdSgMLEQlhwfSt5TxVyC8enL6AX6hKLTnNpq9tmKw==" saltValue="miz/t2k88KNHTAjiHPVllA==" spinCount="100000" sheet="1" objects="1" scenarios="1"/>
  <dataValidations count="1">
    <dataValidation type="list" allowBlank="1" showInputMessage="1" showErrorMessage="1" sqref="B2:B14" xr:uid="{00000000-0002-0000-0100-000000000000}">
      <formula1>Coverage.Type.</formula1>
    </dataValidation>
  </dataValidations>
  <pageMargins left="0.7" right="0.7" top="0.75" bottom="0.75" header="0.3" footer="0.3"/>
  <pageSetup orientation="portrait" r:id="rId1"/>
  <headerFooter>
    <oddFooter>&amp;L&amp;1#&amp;"Calibri"&amp;7&amp;K000000C2 General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E931F784-7F41-42F2-AAF5-CF6499D77822}">
            <xm:f>Lists!$E$5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14:cfRule type="cellIs" priority="5" operator="equal" id="{589C94E9-D213-4926-846F-DBC5CA6D9066}">
            <xm:f>Lists!$E$3</xm:f>
            <x14:dxf>
              <font>
                <color theme="7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6" operator="equal" id="{76DB2081-47B7-44E3-9F9A-B4B156BBD07C}">
            <xm:f>Lists!$E$4</xm:f>
            <x14:dxf>
              <font>
                <color theme="9"/>
              </font>
              <fill>
                <patternFill>
                  <bgColor theme="9" tint="0.79998168889431442"/>
                </patternFill>
              </fill>
            </x14:dxf>
          </x14:cfRule>
          <xm:sqref>B3:B14</xm:sqref>
        </x14:conditionalFormatting>
        <x14:conditionalFormatting xmlns:xm="http://schemas.microsoft.com/office/excel/2006/main">
          <x14:cfRule type="cellIs" priority="1" operator="equal" id="{A143EAEE-A7F4-4B67-8BA1-A6828AAC70AA}">
            <xm:f>Lists!$E$5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14:cfRule type="cellIs" priority="2" operator="equal" id="{BD8A961A-58CA-4DE5-B559-562582DF2F53}">
            <xm:f>Lists!$E$3</xm:f>
            <x14:dxf>
              <font>
                <color theme="7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3" operator="equal" id="{8743716E-30D4-49FD-A88C-26410513DF7E}">
            <xm:f>Lists!$E$4</xm:f>
            <x14:dxf>
              <font>
                <color theme="9"/>
              </font>
              <fill>
                <patternFill>
                  <bgColor theme="9" tint="0.79998168889431442"/>
                </patternFill>
              </fill>
            </x14:dxf>
          </x14:cfRule>
          <xm:sqref>B2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O326"/>
  <sheetViews>
    <sheetView showGridLines="0" topLeftCell="K1" workbookViewId="0">
      <selection activeCell="M27" sqref="M27"/>
    </sheetView>
  </sheetViews>
  <sheetFormatPr defaultColWidth="0" defaultRowHeight="14.4" zeroHeight="1" x14ac:dyDescent="0.3"/>
  <cols>
    <col min="1" max="1" width="9.109375" hidden="1" customWidth="1"/>
    <col min="2" max="4" width="37.109375" hidden="1" customWidth="1"/>
    <col min="5" max="5" width="30" hidden="1" customWidth="1"/>
    <col min="6" max="6" width="6" hidden="1" customWidth="1"/>
    <col min="7" max="7" width="24" hidden="1" customWidth="1"/>
    <col min="8" max="8" width="26.6640625" hidden="1" customWidth="1"/>
    <col min="9" max="10" width="12.6640625" hidden="1" customWidth="1"/>
    <col min="11" max="11" width="37.109375" style="75" bestFit="1" customWidth="1"/>
    <col min="12" max="12" width="36.6640625" style="75" bestFit="1" customWidth="1"/>
    <col min="13" max="13" width="16.6640625" style="75" customWidth="1"/>
    <col min="14" max="14" width="36" hidden="1" customWidth="1"/>
    <col min="15" max="15" width="32.88671875" hidden="1" customWidth="1"/>
    <col min="16" max="16384" width="9.109375" style="75" hidden="1"/>
  </cols>
  <sheetData>
    <row r="1" spans="1:15" ht="15" thickBot="1" x14ac:dyDescent="0.35">
      <c r="A1" s="1" t="s">
        <v>415</v>
      </c>
      <c r="B1" s="1" t="s">
        <v>413</v>
      </c>
      <c r="C1" s="1" t="s">
        <v>36</v>
      </c>
      <c r="D1" s="1" t="s">
        <v>414</v>
      </c>
      <c r="E1" s="15"/>
      <c r="F1" s="15"/>
      <c r="K1" s="23" t="s">
        <v>413</v>
      </c>
      <c r="L1" s="24" t="s">
        <v>414</v>
      </c>
      <c r="M1" s="18" t="s">
        <v>31</v>
      </c>
    </row>
    <row r="2" spans="1:15" ht="15" thickTop="1" x14ac:dyDescent="0.3">
      <c r="A2" s="77">
        <v>1</v>
      </c>
      <c r="B2" t="s">
        <v>37</v>
      </c>
      <c r="C2" t="s">
        <v>55</v>
      </c>
      <c r="D2" t="s">
        <v>53</v>
      </c>
      <c r="E2" t="s">
        <v>541</v>
      </c>
      <c r="F2">
        <v>13920</v>
      </c>
      <c r="G2" t="str">
        <f>LOOKUP(B2,ΠΕΡΙΦΕΡΕΙΑ!$A$2:$A$14,ΠΕΡΙΦΕΡΕΙΑ!$B$2:$B$14)</f>
        <v>Μερική</v>
      </c>
      <c r="H2">
        <f t="shared" ref="H2:H65" si="0">IF(G2="Μερική",A2,"")</f>
        <v>1</v>
      </c>
      <c r="I2">
        <f t="shared" ref="I2:I65" si="1">SMALL(H:H,A2)</f>
        <v>1</v>
      </c>
      <c r="J2" t="str">
        <f>CONCATENATE(L2," - ",K2)</f>
        <v>ΑΒΔΗΡΩΝ - ΑΝΑΤΟΛΙΚΗΣ ΜΑΚΕΔΟΝΙΑΣ ΚΑΙ ΘΡΑΚΗΣ</v>
      </c>
      <c r="K2" t="str">
        <f t="shared" ref="K2:K65" si="2">IF(ISNUMBER(I2),LOOKUP(I2,A:A,B:B),"")</f>
        <v>ΑΝΑΤΟΛΙΚΗΣ ΜΑΚΕΔΟΝΙΑΣ ΚΑΙ ΘΡΑΚΗΣ</v>
      </c>
      <c r="L2" t="str">
        <f t="shared" ref="L2:L65" si="3">IF(ISNUMBER(I2),LOOKUP(I2,A:A,D:D),"")</f>
        <v>ΑΒΔΗΡΩΝ</v>
      </c>
      <c r="M2" s="65" t="s">
        <v>417</v>
      </c>
      <c r="N2" t="str">
        <f>IF(L2&lt;&gt;"",IF(M2="ΝΑΙ",K2&amp;" - "&amp;L2&amp;", ",""),"")</f>
        <v xml:space="preserve">ΑΝΑΤΟΛΙΚΗΣ ΜΑΚΕΔΟΝΙΑΣ ΚΑΙ ΘΡΑΚΗΣ - ΑΒΔΗΡΩΝ, </v>
      </c>
      <c r="O2" t="str">
        <f>N2</f>
        <v xml:space="preserve">ΑΝΑΤΟΛΙΚΗΣ ΜΑΚΕΔΟΝΙΑΣ ΚΑΙ ΘΡΑΚΗΣ - ΑΒΔΗΡΩΝ, </v>
      </c>
    </row>
    <row r="3" spans="1:15" x14ac:dyDescent="0.3">
      <c r="A3" s="77">
        <v>2</v>
      </c>
      <c r="B3" t="s">
        <v>37</v>
      </c>
      <c r="C3" t="s">
        <v>363</v>
      </c>
      <c r="D3" t="s">
        <v>44</v>
      </c>
      <c r="E3" t="s">
        <v>542</v>
      </c>
      <c r="F3">
        <v>13906</v>
      </c>
      <c r="G3" t="str">
        <f>LOOKUP(B3,ΠΕΡΙΦΕΡΕΙΑ!$A$2:$A$14,ΠΕΡΙΦΕΡΕΙΑ!$B$2:$B$14)</f>
        <v>Μερική</v>
      </c>
      <c r="H3">
        <f t="shared" si="0"/>
        <v>2</v>
      </c>
      <c r="I3">
        <f t="shared" si="1"/>
        <v>2</v>
      </c>
      <c r="J3" t="str">
        <f t="shared" ref="J3:J66" si="4">CONCATENATE(L3," - ",K3)</f>
        <v>ΑΛΕΞΑΝΔΡΟΥΠΟΛΗΣ - ΑΝΑΤΟΛΙΚΗΣ ΜΑΚΕΔΟΝΙΑΣ ΚΑΙ ΘΡΑΚΗΣ</v>
      </c>
      <c r="K3" t="str">
        <f t="shared" si="2"/>
        <v>ΑΝΑΤΟΛΙΚΗΣ ΜΑΚΕΔΟΝΙΑΣ ΚΑΙ ΘΡΑΚΗΣ</v>
      </c>
      <c r="L3" t="str">
        <f t="shared" si="3"/>
        <v>ΑΛΕΞΑΝΔΡΟΥΠΟΛΗΣ</v>
      </c>
      <c r="M3" s="65" t="s">
        <v>417</v>
      </c>
      <c r="N3" t="str">
        <f t="shared" ref="N3:N66" si="5">IF(L3&lt;&gt;"",IF(M3="ΝΑΙ",K3&amp;" - "&amp;L3&amp;", ",""),"")</f>
        <v xml:space="preserve">ΑΝΑΤΟΛΙΚΗΣ ΜΑΚΕΔΟΝΙΑΣ ΚΑΙ ΘΡΑΚΗΣ - ΑΛΕΞΑΝΔΡΟΥΠΟΛΗΣ, </v>
      </c>
      <c r="O3" t="str">
        <f>O2&amp;N3</f>
        <v xml:space="preserve">ΑΝΑΤΟΛΙΚΗΣ ΜΑΚΕΔΟΝΙΑΣ ΚΑΙ ΘΡΑΚΗΣ - ΑΒΔΗΡΩΝ, ΑΝΑΤΟΛΙΚΗΣ ΜΑΚΕΔΟΝΙΑΣ ΚΑΙ ΘΡΑΚΗΣ - ΑΛΕΞΑΝΔΡΟΥΠΟΛΗΣ, </v>
      </c>
    </row>
    <row r="4" spans="1:15" x14ac:dyDescent="0.3">
      <c r="A4" s="77">
        <v>3</v>
      </c>
      <c r="B4" t="s">
        <v>37</v>
      </c>
      <c r="C4" t="s">
        <v>364</v>
      </c>
      <c r="D4" t="s">
        <v>57</v>
      </c>
      <c r="E4" t="s">
        <v>543</v>
      </c>
      <c r="F4">
        <v>13910</v>
      </c>
      <c r="G4" t="str">
        <f>LOOKUP(B4,ΠΕΡΙΦΕΡΕΙΑ!$A$2:$A$14,ΠΕΡΙΦΕΡΕΙΑ!$B$2:$B$14)</f>
        <v>Μερική</v>
      </c>
      <c r="H4">
        <f t="shared" si="0"/>
        <v>3</v>
      </c>
      <c r="I4">
        <f t="shared" si="1"/>
        <v>3</v>
      </c>
      <c r="J4" t="str">
        <f t="shared" si="4"/>
        <v>ΑΡΡΙΑΝΩΝ - ΑΝΑΤΟΛΙΚΗΣ ΜΑΚΕΔΟΝΙΑΣ ΚΑΙ ΘΡΑΚΗΣ</v>
      </c>
      <c r="K4" t="str">
        <f t="shared" si="2"/>
        <v>ΑΝΑΤΟΛΙΚΗΣ ΜΑΚΕΔΟΝΙΑΣ ΚΑΙ ΘΡΑΚΗΣ</v>
      </c>
      <c r="L4" t="str">
        <f t="shared" si="3"/>
        <v>ΑΡΡΙΑΝΩΝ</v>
      </c>
      <c r="M4" s="65" t="s">
        <v>418</v>
      </c>
      <c r="N4" t="str">
        <f t="shared" si="5"/>
        <v/>
      </c>
      <c r="O4" t="str">
        <f t="shared" ref="O4:O67" si="6">O3&amp;N4</f>
        <v xml:space="preserve">ΑΝΑΤΟΛΙΚΗΣ ΜΑΚΕΔΟΝΙΑΣ ΚΑΙ ΘΡΑΚΗΣ - ΑΒΔΗΡΩΝ, ΑΝΑΤΟΛΙΚΗΣ ΜΑΚΕΔΟΝΙΑΣ ΚΑΙ ΘΡΑΚΗΣ - ΑΛΕΞΑΝΔΡΟΥΠΟΛΗΣ, </v>
      </c>
    </row>
    <row r="5" spans="1:15" x14ac:dyDescent="0.3">
      <c r="A5" s="77">
        <v>4</v>
      </c>
      <c r="B5" t="s">
        <v>37</v>
      </c>
      <c r="C5" t="s">
        <v>363</v>
      </c>
      <c r="D5" t="s">
        <v>45</v>
      </c>
      <c r="E5" t="s">
        <v>544</v>
      </c>
      <c r="F5">
        <v>14058</v>
      </c>
      <c r="G5" t="str">
        <f>LOOKUP(B5,ΠΕΡΙΦΕΡΕΙΑ!$A$2:$A$14,ΠΕΡΙΦΕΡΕΙΑ!$B$2:$B$14)</f>
        <v>Μερική</v>
      </c>
      <c r="H5">
        <f t="shared" si="0"/>
        <v>4</v>
      </c>
      <c r="I5">
        <f t="shared" si="1"/>
        <v>4</v>
      </c>
      <c r="J5" t="str">
        <f t="shared" si="4"/>
        <v>ΔΙΔΥΜΟΤΕΙΧΟΥ - ΑΝΑΤΟΛΙΚΗΣ ΜΑΚΕΔΟΝΙΑΣ ΚΑΙ ΘΡΑΚΗΣ</v>
      </c>
      <c r="K5" t="str">
        <f t="shared" si="2"/>
        <v>ΑΝΑΤΟΛΙΚΗΣ ΜΑΚΕΔΟΝΙΑΣ ΚΑΙ ΘΡΑΚΗΣ</v>
      </c>
      <c r="L5" t="str">
        <f t="shared" si="3"/>
        <v>ΔΙΔΥΜΟΤΕΙΧΟΥ</v>
      </c>
      <c r="M5" s="65" t="s">
        <v>417</v>
      </c>
      <c r="N5" t="str">
        <f t="shared" si="5"/>
        <v xml:space="preserve">ΑΝΑΤΟΛΙΚΗΣ ΜΑΚΕΔΟΝΙΑΣ ΚΑΙ ΘΡΑΚΗΣ - ΔΙΔΥΜΟΤΕΙΧΟΥ, </v>
      </c>
      <c r="O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</v>
      </c>
    </row>
    <row r="6" spans="1:15" x14ac:dyDescent="0.3">
      <c r="A6" s="77">
        <v>5</v>
      </c>
      <c r="B6" t="s">
        <v>37</v>
      </c>
      <c r="C6" t="s">
        <v>40</v>
      </c>
      <c r="D6" t="s">
        <v>39</v>
      </c>
      <c r="E6" t="s">
        <v>545</v>
      </c>
      <c r="F6">
        <v>14068</v>
      </c>
      <c r="G6" t="str">
        <f>LOOKUP(B6,ΠΕΡΙΦΕΡΕΙΑ!$A$2:$A$14,ΠΕΡΙΦΕΡΕΙΑ!$B$2:$B$14)</f>
        <v>Μερική</v>
      </c>
      <c r="H6">
        <f t="shared" si="0"/>
        <v>5</v>
      </c>
      <c r="I6">
        <f t="shared" si="1"/>
        <v>5</v>
      </c>
      <c r="J6" t="str">
        <f t="shared" si="4"/>
        <v>ΔΟΞΑΤΟΥ - ΑΝΑΤΟΛΙΚΗΣ ΜΑΚΕΔΟΝΙΑΣ ΚΑΙ ΘΡΑΚΗΣ</v>
      </c>
      <c r="K6" t="str">
        <f t="shared" si="2"/>
        <v>ΑΝΑΤΟΛΙΚΗΣ ΜΑΚΕΔΟΝΙΑΣ ΚΑΙ ΘΡΑΚΗΣ</v>
      </c>
      <c r="L6" t="str">
        <f t="shared" si="3"/>
        <v>ΔΟΞΑΤΟΥ</v>
      </c>
      <c r="M6" s="65" t="s">
        <v>417</v>
      </c>
      <c r="N6" t="str">
        <f t="shared" si="5"/>
        <v xml:space="preserve">ΑΝΑΤΟΛΙΚΗΣ ΜΑΚΕΔΟΝΙΑΣ ΚΑΙ ΘΡΑΚΗΣ - ΔΟΞΑΤΟΥ, </v>
      </c>
      <c r="O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</v>
      </c>
    </row>
    <row r="7" spans="1:15" x14ac:dyDescent="0.3">
      <c r="A7" s="77">
        <v>6</v>
      </c>
      <c r="B7" t="s">
        <v>37</v>
      </c>
      <c r="C7" t="s">
        <v>40</v>
      </c>
      <c r="D7" t="s">
        <v>40</v>
      </c>
      <c r="E7" t="s">
        <v>546</v>
      </c>
      <c r="F7">
        <v>14070</v>
      </c>
      <c r="G7" t="str">
        <f>LOOKUP(B7,ΠΕΡΙΦΕΡΕΙΑ!$A$2:$A$14,ΠΕΡΙΦΕΡΕΙΑ!$B$2:$B$14)</f>
        <v>Μερική</v>
      </c>
      <c r="H7">
        <f t="shared" si="0"/>
        <v>6</v>
      </c>
      <c r="I7">
        <f t="shared" si="1"/>
        <v>6</v>
      </c>
      <c r="J7" t="str">
        <f t="shared" si="4"/>
        <v>ΔΡΑΜΑΣ - ΑΝΑΤΟΛΙΚΗΣ ΜΑΚΕΔΟΝΙΑΣ ΚΑΙ ΘΡΑΚΗΣ</v>
      </c>
      <c r="K7" t="str">
        <f t="shared" si="2"/>
        <v>ΑΝΑΤΟΛΙΚΗΣ ΜΑΚΕΔΟΝΙΑΣ ΚΑΙ ΘΡΑΚΗΣ</v>
      </c>
      <c r="L7" t="str">
        <f t="shared" si="3"/>
        <v>ΔΡΑΜΑΣ</v>
      </c>
      <c r="M7" s="65" t="s">
        <v>417</v>
      </c>
      <c r="N7" t="str">
        <f t="shared" si="5"/>
        <v xml:space="preserve">ΑΝΑΤΟΛΙΚΗΣ ΜΑΚΕΔΟΝΙΑΣ ΚΑΙ ΘΡΑΚΗΣ - ΔΡΑΜΑΣ, </v>
      </c>
      <c r="O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</v>
      </c>
    </row>
    <row r="8" spans="1:15" x14ac:dyDescent="0.3">
      <c r="A8" s="77">
        <v>7</v>
      </c>
      <c r="B8" t="s">
        <v>37</v>
      </c>
      <c r="C8" t="s">
        <v>49</v>
      </c>
      <c r="D8" t="s">
        <v>49</v>
      </c>
      <c r="E8" t="s">
        <v>547</v>
      </c>
      <c r="F8">
        <v>14124</v>
      </c>
      <c r="G8" t="str">
        <f>LOOKUP(B8,ΠΕΡΙΦΕΡΕΙΑ!$A$2:$A$14,ΠΕΡΙΦΕΡΕΙΑ!$B$2:$B$14)</f>
        <v>Μερική</v>
      </c>
      <c r="H8">
        <f t="shared" si="0"/>
        <v>7</v>
      </c>
      <c r="I8">
        <f t="shared" si="1"/>
        <v>7</v>
      </c>
      <c r="J8" t="str">
        <f t="shared" si="4"/>
        <v>ΘΑΣΟΥ - ΑΝΑΤΟΛΙΚΗΣ ΜΑΚΕΔΟΝΙΑΣ ΚΑΙ ΘΡΑΚΗΣ</v>
      </c>
      <c r="K8" t="str">
        <f t="shared" si="2"/>
        <v>ΑΝΑΤΟΛΙΚΗΣ ΜΑΚΕΔΟΝΙΑΣ ΚΑΙ ΘΡΑΚΗΣ</v>
      </c>
      <c r="L8" t="str">
        <f t="shared" si="3"/>
        <v>ΘΑΣΟΥ</v>
      </c>
      <c r="M8" s="65" t="s">
        <v>417</v>
      </c>
      <c r="N8" t="str">
        <f t="shared" si="5"/>
        <v xml:space="preserve">ΑΝΑΤΟΛΙΚΗΣ ΜΑΚΕΔΟΝΙΑΣ ΚΑΙ ΘΡΑΚΗΣ - ΘΑΣΟΥ, </v>
      </c>
      <c r="O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9" spans="1:15" x14ac:dyDescent="0.3">
      <c r="A9" s="77">
        <v>8</v>
      </c>
      <c r="B9" t="s">
        <v>37</v>
      </c>
      <c r="C9" t="s">
        <v>364</v>
      </c>
      <c r="D9" t="s">
        <v>58</v>
      </c>
      <c r="E9" t="s">
        <v>548</v>
      </c>
      <c r="F9">
        <v>14140</v>
      </c>
      <c r="G9" t="str">
        <f>LOOKUP(B9,ΠΕΡΙΦΕΡΕΙΑ!$A$2:$A$14,ΠΕΡΙΦΕΡΕΙΑ!$B$2:$B$14)</f>
        <v>Μερική</v>
      </c>
      <c r="H9">
        <f t="shared" si="0"/>
        <v>8</v>
      </c>
      <c r="I9">
        <f t="shared" si="1"/>
        <v>8</v>
      </c>
      <c r="J9" t="str">
        <f t="shared" si="4"/>
        <v>ΙΑΣΜΟΥ - ΑΝΑΤΟΛΙΚΗΣ ΜΑΚΕΔΟΝΙΑΣ ΚΑΙ ΘΡΑΚΗΣ</v>
      </c>
      <c r="K9" t="str">
        <f t="shared" si="2"/>
        <v>ΑΝΑΤΟΛΙΚΗΣ ΜΑΚΕΔΟΝΙΑΣ ΚΑΙ ΘΡΑΚΗΣ</v>
      </c>
      <c r="L9" t="str">
        <f t="shared" si="3"/>
        <v>ΙΑΣΜΟΥ</v>
      </c>
      <c r="M9" s="65" t="s">
        <v>418</v>
      </c>
      <c r="N9" t="str">
        <f t="shared" si="5"/>
        <v/>
      </c>
      <c r="O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10" spans="1:15" x14ac:dyDescent="0.3">
      <c r="A10" s="77">
        <v>9</v>
      </c>
      <c r="B10" t="s">
        <v>37</v>
      </c>
      <c r="C10" t="s">
        <v>50</v>
      </c>
      <c r="D10" t="s">
        <v>50</v>
      </c>
      <c r="E10" t="s">
        <v>549</v>
      </c>
      <c r="F10">
        <v>14156</v>
      </c>
      <c r="G10" t="str">
        <f>LOOKUP(B10,ΠΕΡΙΦΕΡΕΙΑ!$A$2:$A$14,ΠΕΡΙΦΕΡΕΙΑ!$B$2:$B$14)</f>
        <v>Μερική</v>
      </c>
      <c r="H10">
        <f t="shared" si="0"/>
        <v>9</v>
      </c>
      <c r="I10">
        <f t="shared" si="1"/>
        <v>9</v>
      </c>
      <c r="J10" t="str">
        <f t="shared" si="4"/>
        <v>ΚΑΒΑΛΑΣ - ΑΝΑΤΟΛΙΚΗΣ ΜΑΚΕΔΟΝΙΑΣ ΚΑΙ ΘΡΑΚΗΣ</v>
      </c>
      <c r="K10" t="str">
        <f t="shared" si="2"/>
        <v>ΑΝΑΤΟΛΙΚΗΣ ΜΑΚΕΔΟΝΙΑΣ ΚΑΙ ΘΡΑΚΗΣ</v>
      </c>
      <c r="L10" t="str">
        <f t="shared" si="3"/>
        <v>ΚΑΒΑΛΑΣ</v>
      </c>
      <c r="M10" s="65" t="s">
        <v>417</v>
      </c>
      <c r="N10" t="str">
        <f t="shared" si="5"/>
        <v xml:space="preserve">ΑΝΑΤΟΛΙΚΗΣ ΜΑΚΕΔΟΝΙΑΣ ΚΑΙ ΘΡΑΚΗΣ - ΚΑΒΑΛΑΣ, </v>
      </c>
      <c r="O1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</v>
      </c>
    </row>
    <row r="11" spans="1:15" x14ac:dyDescent="0.3">
      <c r="A11" s="77">
        <v>10</v>
      </c>
      <c r="B11" t="s">
        <v>37</v>
      </c>
      <c r="C11" t="s">
        <v>40</v>
      </c>
      <c r="D11" t="s">
        <v>41</v>
      </c>
      <c r="E11" t="s">
        <v>550</v>
      </c>
      <c r="F11">
        <v>14202</v>
      </c>
      <c r="G11" t="str">
        <f>LOOKUP(B11,ΠΕΡΙΦΕΡΕΙΑ!$A$2:$A$14,ΠΕΡΙΦΕΡΕΙΑ!$B$2:$B$14)</f>
        <v>Μερική</v>
      </c>
      <c r="H11">
        <f t="shared" si="0"/>
        <v>10</v>
      </c>
      <c r="I11">
        <f t="shared" si="1"/>
        <v>10</v>
      </c>
      <c r="J11" t="str">
        <f t="shared" si="4"/>
        <v>ΚΑΤΩ ΝΕΥΡΟΚΟΠΙΟΥ - ΑΝΑΤΟΛΙΚΗΣ ΜΑΚΕΔΟΝΙΑΣ ΚΑΙ ΘΡΑΚΗΣ</v>
      </c>
      <c r="K11" t="str">
        <f t="shared" si="2"/>
        <v>ΑΝΑΤΟΛΙΚΗΣ ΜΑΚΕΔΟΝΙΑΣ ΚΑΙ ΘΡΑΚΗΣ</v>
      </c>
      <c r="L11" t="str">
        <f t="shared" si="3"/>
        <v>ΚΑΤΩ ΝΕΥΡΟΚΟΠΙΟΥ</v>
      </c>
      <c r="M11" s="65" t="s">
        <v>418</v>
      </c>
      <c r="N11" t="str">
        <f t="shared" si="5"/>
        <v/>
      </c>
      <c r="O1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</v>
      </c>
    </row>
    <row r="12" spans="1:15" x14ac:dyDescent="0.3">
      <c r="A12" s="77">
        <v>11</v>
      </c>
      <c r="B12" t="s">
        <v>37</v>
      </c>
      <c r="C12" t="s">
        <v>364</v>
      </c>
      <c r="D12" t="s">
        <v>59</v>
      </c>
      <c r="E12" t="s">
        <v>551</v>
      </c>
      <c r="F12">
        <v>14220</v>
      </c>
      <c r="G12" t="str">
        <f>LOOKUP(B12,ΠΕΡΙΦΕΡΕΙΑ!$A$2:$A$14,ΠΕΡΙΦΕΡΕΙΑ!$B$2:$B$14)</f>
        <v>Μερική</v>
      </c>
      <c r="H12">
        <f t="shared" si="0"/>
        <v>11</v>
      </c>
      <c r="I12">
        <f t="shared" si="1"/>
        <v>11</v>
      </c>
      <c r="J12" t="str">
        <f t="shared" si="4"/>
        <v>ΚΟΜΟΤΗΝΗΣ - ΑΝΑΤΟΛΙΚΗΣ ΜΑΚΕΔΟΝΙΑΣ ΚΑΙ ΘΡΑΚΗΣ</v>
      </c>
      <c r="K12" t="str">
        <f t="shared" si="2"/>
        <v>ΑΝΑΤΟΛΙΚΗΣ ΜΑΚΕΔΟΝΙΑΣ ΚΑΙ ΘΡΑΚΗΣ</v>
      </c>
      <c r="L12" t="str">
        <f t="shared" si="3"/>
        <v>ΚΟΜΟΤΗΝΗΣ</v>
      </c>
      <c r="M12" s="65" t="s">
        <v>417</v>
      </c>
      <c r="N12" t="str">
        <f t="shared" si="5"/>
        <v xml:space="preserve">ΑΝΑΤΟΛΙΚΗΣ ΜΑΚΕΔΟΝΙΑΣ ΚΑΙ ΘΡΑΚΗΣ - ΚΟΜΟΤΗΝΗΣ, </v>
      </c>
      <c r="O1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3" spans="1:15" x14ac:dyDescent="0.3">
      <c r="A13" s="77">
        <v>12</v>
      </c>
      <c r="B13" t="s">
        <v>37</v>
      </c>
      <c r="C13" t="s">
        <v>364</v>
      </c>
      <c r="D13" t="s">
        <v>60</v>
      </c>
      <c r="E13" t="s">
        <v>552</v>
      </c>
      <c r="F13">
        <v>14280</v>
      </c>
      <c r="G13" t="str">
        <f>LOOKUP(B13,ΠΕΡΙΦΕΡΕΙΑ!$A$2:$A$14,ΠΕΡΙΦΕΡΕΙΑ!$B$2:$B$14)</f>
        <v>Μερική</v>
      </c>
      <c r="H13">
        <f t="shared" si="0"/>
        <v>12</v>
      </c>
      <c r="I13">
        <f t="shared" si="1"/>
        <v>12</v>
      </c>
      <c r="J13" t="str">
        <f t="shared" si="4"/>
        <v>ΜΑΡΩΝΕΙΑΣ – ΣΑΠΩΝ - ΑΝΑΤΟΛΙΚΗΣ ΜΑΚΕΔΟΝΙΑΣ ΚΑΙ ΘΡΑΚΗΣ</v>
      </c>
      <c r="K13" t="str">
        <f t="shared" si="2"/>
        <v>ΑΝΑΤΟΛΙΚΗΣ ΜΑΚΕΔΟΝΙΑΣ ΚΑΙ ΘΡΑΚΗΣ</v>
      </c>
      <c r="L13" t="str">
        <f t="shared" si="3"/>
        <v>ΜΑΡΩΝΕΙΑΣ – ΣΑΠΩΝ</v>
      </c>
      <c r="M13" s="65" t="s">
        <v>418</v>
      </c>
      <c r="N13" t="str">
        <f t="shared" si="5"/>
        <v/>
      </c>
      <c r="O1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4" spans="1:15" x14ac:dyDescent="0.3">
      <c r="A14" s="77">
        <v>13</v>
      </c>
      <c r="B14" t="s">
        <v>37</v>
      </c>
      <c r="C14" t="s">
        <v>55</v>
      </c>
      <c r="D14" t="s">
        <v>54</v>
      </c>
      <c r="E14" t="s">
        <v>553</v>
      </c>
      <c r="F14">
        <v>14304</v>
      </c>
      <c r="G14" t="str">
        <f>LOOKUP(B14,ΠΕΡΙΦΕΡΕΙΑ!$A$2:$A$14,ΠΕΡΙΦΕΡΕΙΑ!$B$2:$B$14)</f>
        <v>Μερική</v>
      </c>
      <c r="H14">
        <f t="shared" si="0"/>
        <v>13</v>
      </c>
      <c r="I14">
        <f t="shared" si="1"/>
        <v>13</v>
      </c>
      <c r="J14" t="str">
        <f t="shared" si="4"/>
        <v>ΜΥΚΗΣ - ΑΝΑΤΟΛΙΚΗΣ ΜΑΚΕΔΟΝΙΑΣ ΚΑΙ ΘΡΑΚΗΣ</v>
      </c>
      <c r="K14" t="str">
        <f t="shared" si="2"/>
        <v>ΑΝΑΤΟΛΙΚΗΣ ΜΑΚΕΔΟΝΙΑΣ ΚΑΙ ΘΡΑΚΗΣ</v>
      </c>
      <c r="L14" t="str">
        <f t="shared" si="3"/>
        <v>ΜΥΚΗΣ</v>
      </c>
      <c r="M14" s="65" t="s">
        <v>418</v>
      </c>
      <c r="N14" t="str">
        <f t="shared" si="5"/>
        <v/>
      </c>
      <c r="O1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5" spans="1:15" x14ac:dyDescent="0.3">
      <c r="A15" s="77">
        <v>14</v>
      </c>
      <c r="B15" t="s">
        <v>37</v>
      </c>
      <c r="C15" t="s">
        <v>50</v>
      </c>
      <c r="D15" t="s">
        <v>51</v>
      </c>
      <c r="E15" t="s">
        <v>554</v>
      </c>
      <c r="F15">
        <v>14336</v>
      </c>
      <c r="G15" t="str">
        <f>LOOKUP(B15,ΠΕΡΙΦΕΡΕΙΑ!$A$2:$A$14,ΠΕΡΙΦΕΡΕΙΑ!$B$2:$B$14)</f>
        <v>Μερική</v>
      </c>
      <c r="H15">
        <f t="shared" si="0"/>
        <v>14</v>
      </c>
      <c r="I15">
        <f t="shared" si="1"/>
        <v>14</v>
      </c>
      <c r="J15" t="str">
        <f t="shared" si="4"/>
        <v>ΝΕΣΤΟΥ - ΑΝΑΤΟΛΙΚΗΣ ΜΑΚΕΔΟΝΙΑΣ ΚΑΙ ΘΡΑΚΗΣ</v>
      </c>
      <c r="K15" t="str">
        <f t="shared" si="2"/>
        <v>ΑΝΑΤΟΛΙΚΗΣ ΜΑΚΕΔΟΝΙΑΣ ΚΑΙ ΘΡΑΚΗΣ</v>
      </c>
      <c r="L15" t="str">
        <f t="shared" si="3"/>
        <v>ΝΕΣΤΟΥ</v>
      </c>
      <c r="M15" s="65" t="s">
        <v>417</v>
      </c>
      <c r="N15" t="str">
        <f t="shared" si="5"/>
        <v xml:space="preserve">ΑΝΑΤΟΛΙΚΗΣ ΜΑΚΕΔΟΝΙΑΣ ΚΑΙ ΘΡΑΚΗΣ - ΝΕΣΤΟΥ, </v>
      </c>
      <c r="O1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</v>
      </c>
    </row>
    <row r="16" spans="1:15" x14ac:dyDescent="0.3">
      <c r="A16" s="77">
        <v>15</v>
      </c>
      <c r="B16" t="s">
        <v>37</v>
      </c>
      <c r="C16" t="s">
        <v>55</v>
      </c>
      <c r="D16" t="s">
        <v>55</v>
      </c>
      <c r="E16" t="s">
        <v>555</v>
      </c>
      <c r="F16">
        <v>14330</v>
      </c>
      <c r="G16" t="str">
        <f>LOOKUP(B16,ΠΕΡΙΦΕΡΕΙΑ!$A$2:$A$14,ΠΕΡΙΦΕΡΕΙΑ!$B$2:$B$14)</f>
        <v>Μερική</v>
      </c>
      <c r="H16">
        <f t="shared" si="0"/>
        <v>15</v>
      </c>
      <c r="I16">
        <f t="shared" si="1"/>
        <v>15</v>
      </c>
      <c r="J16" t="str">
        <f t="shared" si="4"/>
        <v>ΞΑΝΘΗΣ - ΑΝΑΤΟΛΙΚΗΣ ΜΑΚΕΔΟΝΙΑΣ ΚΑΙ ΘΡΑΚΗΣ</v>
      </c>
      <c r="K16" t="str">
        <f t="shared" si="2"/>
        <v>ΑΝΑΤΟΛΙΚΗΣ ΜΑΚΕΔΟΝΙΑΣ ΚΑΙ ΘΡΑΚΗΣ</v>
      </c>
      <c r="L16" t="str">
        <f t="shared" si="3"/>
        <v>ΞΑΝΘΗΣ</v>
      </c>
      <c r="M16" s="65" t="s">
        <v>417</v>
      </c>
      <c r="N16" t="str">
        <f t="shared" si="5"/>
        <v xml:space="preserve">ΑΝΑΤΟΛΙΚΗΣ ΜΑΚΕΔΟΝΙΑΣ ΚΑΙ ΘΡΑΚΗΣ - ΞΑΝΘΗΣ, </v>
      </c>
      <c r="O1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</v>
      </c>
    </row>
    <row r="17" spans="1:15" x14ac:dyDescent="0.3">
      <c r="A17" s="77">
        <v>16</v>
      </c>
      <c r="B17" t="s">
        <v>37</v>
      </c>
      <c r="C17" t="s">
        <v>363</v>
      </c>
      <c r="D17" t="s">
        <v>46</v>
      </c>
      <c r="E17" t="s">
        <v>556</v>
      </c>
      <c r="F17">
        <v>14352</v>
      </c>
      <c r="G17" t="str">
        <f>LOOKUP(B17,ΠΕΡΙΦΕΡΕΙΑ!$A$2:$A$14,ΠΕΡΙΦΕΡΕΙΑ!$B$2:$B$14)</f>
        <v>Μερική</v>
      </c>
      <c r="H17">
        <f t="shared" si="0"/>
        <v>16</v>
      </c>
      <c r="I17">
        <f t="shared" si="1"/>
        <v>16</v>
      </c>
      <c r="J17" t="str">
        <f t="shared" si="4"/>
        <v>ΟΡΕΣΤΙΑΔΑΣ - ΑΝΑΤΟΛΙΚΗΣ ΜΑΚΕΔΟΝΙΑΣ ΚΑΙ ΘΡΑΚΗΣ</v>
      </c>
      <c r="K17" t="str">
        <f t="shared" si="2"/>
        <v>ΑΝΑΤΟΛΙΚΗΣ ΜΑΚΕΔΟΝΙΑΣ ΚΑΙ ΘΡΑΚΗΣ</v>
      </c>
      <c r="L17" t="str">
        <f t="shared" si="3"/>
        <v>ΟΡΕΣΤΙΑΔΑΣ</v>
      </c>
      <c r="M17" s="65" t="s">
        <v>417</v>
      </c>
      <c r="N17" t="str">
        <f t="shared" si="5"/>
        <v xml:space="preserve">ΑΝΑΤΟΛΙΚΗΣ ΜΑΚΕΔΟΝΙΑΣ ΚΑΙ ΘΡΑΚΗΣ - ΟΡΕΣΤΙΑΔΑΣ, </v>
      </c>
      <c r="O1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</v>
      </c>
    </row>
    <row r="18" spans="1:15" x14ac:dyDescent="0.3">
      <c r="A18" s="77">
        <v>17</v>
      </c>
      <c r="B18" t="s">
        <v>37</v>
      </c>
      <c r="C18" t="s">
        <v>50</v>
      </c>
      <c r="D18" t="s">
        <v>52</v>
      </c>
      <c r="E18" t="s">
        <v>557</v>
      </c>
      <c r="F18">
        <v>14360</v>
      </c>
      <c r="G18" t="str">
        <f>LOOKUP(B18,ΠΕΡΙΦΕΡΕΙΑ!$A$2:$A$14,ΠΕΡΙΦΕΡΕΙΑ!$B$2:$B$14)</f>
        <v>Μερική</v>
      </c>
      <c r="H18">
        <f t="shared" si="0"/>
        <v>17</v>
      </c>
      <c r="I18">
        <f t="shared" si="1"/>
        <v>17</v>
      </c>
      <c r="J18" t="str">
        <f t="shared" si="4"/>
        <v>ΠΑΓΓΑΙΟΥ - ΑΝΑΤΟΛΙΚΗΣ ΜΑΚΕΔΟΝΙΑΣ ΚΑΙ ΘΡΑΚΗΣ</v>
      </c>
      <c r="K18" t="str">
        <f t="shared" si="2"/>
        <v>ΑΝΑΤΟΛΙΚΗΣ ΜΑΚΕΔΟΝΙΑΣ ΚΑΙ ΘΡΑΚΗΣ</v>
      </c>
      <c r="L18" t="str">
        <f t="shared" si="3"/>
        <v>ΠΑΓΓΑΙΟΥ</v>
      </c>
      <c r="M18" s="65" t="s">
        <v>417</v>
      </c>
      <c r="N18" t="str">
        <f t="shared" si="5"/>
        <v xml:space="preserve">ΑΝΑΤΟΛΙΚΗΣ ΜΑΚΕΔΟΝΙΑΣ ΚΑΙ ΘΡΑΚΗΣ - ΠΑΓΓΑΙΟΥ, </v>
      </c>
      <c r="O1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19" spans="1:15" x14ac:dyDescent="0.3">
      <c r="A19" s="77">
        <v>18</v>
      </c>
      <c r="B19" t="s">
        <v>37</v>
      </c>
      <c r="C19" t="s">
        <v>40</v>
      </c>
      <c r="D19" t="s">
        <v>42</v>
      </c>
      <c r="E19" t="s">
        <v>558</v>
      </c>
      <c r="F19">
        <v>14396</v>
      </c>
      <c r="G19" t="str">
        <f>LOOKUP(B19,ΠΕΡΙΦΕΡΕΙΑ!$A$2:$A$14,ΠΕΡΙΦΕΡΕΙΑ!$B$2:$B$14)</f>
        <v>Μερική</v>
      </c>
      <c r="H19">
        <f t="shared" si="0"/>
        <v>18</v>
      </c>
      <c r="I19">
        <f t="shared" si="1"/>
        <v>18</v>
      </c>
      <c r="J19" t="str">
        <f t="shared" si="4"/>
        <v>ΠΑΡΑΝΕΣΤΙΟΥ - ΑΝΑΤΟΛΙΚΗΣ ΜΑΚΕΔΟΝΙΑΣ ΚΑΙ ΘΡΑΚΗΣ</v>
      </c>
      <c r="K19" t="str">
        <f t="shared" si="2"/>
        <v>ΑΝΑΤΟΛΙΚΗΣ ΜΑΚΕΔΟΝΙΑΣ ΚΑΙ ΘΡΑΚΗΣ</v>
      </c>
      <c r="L19" t="str">
        <f t="shared" si="3"/>
        <v>ΠΑΡΑΝΕΣΤΙΟΥ</v>
      </c>
      <c r="M19" s="65" t="s">
        <v>418</v>
      </c>
      <c r="N19" t="str">
        <f t="shared" si="5"/>
        <v/>
      </c>
      <c r="O1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20" spans="1:15" x14ac:dyDescent="0.3">
      <c r="A20" s="77">
        <v>19</v>
      </c>
      <c r="B20" t="s">
        <v>37</v>
      </c>
      <c r="C20" t="s">
        <v>40</v>
      </c>
      <c r="D20" t="s">
        <v>43</v>
      </c>
      <c r="E20" t="s">
        <v>559</v>
      </c>
      <c r="F20">
        <v>14420</v>
      </c>
      <c r="G20" t="str">
        <f>LOOKUP(B20,ΠΕΡΙΦΕΡΕΙΑ!$A$2:$A$14,ΠΕΡΙΦΕΡΕΙΑ!$B$2:$B$14)</f>
        <v>Μερική</v>
      </c>
      <c r="H20">
        <f t="shared" si="0"/>
        <v>19</v>
      </c>
      <c r="I20">
        <f t="shared" si="1"/>
        <v>19</v>
      </c>
      <c r="J20" t="str">
        <f t="shared" si="4"/>
        <v>ΠΡΟΣΟΤΣΑΝΗΣ - ΑΝΑΤΟΛΙΚΗΣ ΜΑΚΕΔΟΝΙΑΣ ΚΑΙ ΘΡΑΚΗΣ</v>
      </c>
      <c r="K20" t="str">
        <f t="shared" si="2"/>
        <v>ΑΝΑΤΟΛΙΚΗΣ ΜΑΚΕΔΟΝΙΑΣ ΚΑΙ ΘΡΑΚΗΣ</v>
      </c>
      <c r="L20" t="str">
        <f t="shared" si="3"/>
        <v>ΠΡΟΣΟΤΣΑΝΗΣ</v>
      </c>
      <c r="M20" s="65" t="s">
        <v>417</v>
      </c>
      <c r="N20" t="str">
        <f t="shared" si="5"/>
        <v xml:space="preserve">ΑΝΑΤΟΛΙΚΗΣ ΜΑΚΕΔΟΝΙΑΣ ΚΑΙ ΘΡΑΚΗΣ - ΠΡΟΣΟΤΣΑΝΗΣ, </v>
      </c>
      <c r="O2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</v>
      </c>
    </row>
    <row r="21" spans="1:15" x14ac:dyDescent="0.3">
      <c r="A21" s="77">
        <v>20</v>
      </c>
      <c r="B21" t="s">
        <v>37</v>
      </c>
      <c r="C21" t="s">
        <v>363</v>
      </c>
      <c r="D21" t="s">
        <v>47</v>
      </c>
      <c r="E21" t="s">
        <v>560</v>
      </c>
      <c r="F21">
        <v>14432</v>
      </c>
      <c r="G21" t="str">
        <f>LOOKUP(B21,ΠΕΡΙΦΕΡΕΙΑ!$A$2:$A$14,ΠΕΡΙΦΕΡΕΙΑ!$B$2:$B$14)</f>
        <v>Μερική</v>
      </c>
      <c r="H21">
        <f t="shared" si="0"/>
        <v>20</v>
      </c>
      <c r="I21">
        <f t="shared" si="1"/>
        <v>20</v>
      </c>
      <c r="J21" t="str">
        <f t="shared" si="4"/>
        <v>ΣΑΜΟΘΡΑΚΗΣ - ΑΝΑΤΟΛΙΚΗΣ ΜΑΚΕΔΟΝΙΑΣ ΚΑΙ ΘΡΑΚΗΣ</v>
      </c>
      <c r="K21" t="str">
        <f t="shared" si="2"/>
        <v>ΑΝΑΤΟΛΙΚΗΣ ΜΑΚΕΔΟΝΙΑΣ ΚΑΙ ΘΡΑΚΗΣ</v>
      </c>
      <c r="L21" t="str">
        <f t="shared" si="3"/>
        <v>ΣΑΜΟΘΡΑΚΗΣ</v>
      </c>
      <c r="M21" s="65" t="s">
        <v>418</v>
      </c>
      <c r="N21" t="str">
        <f t="shared" si="5"/>
        <v/>
      </c>
      <c r="O2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</v>
      </c>
    </row>
    <row r="22" spans="1:15" x14ac:dyDescent="0.3">
      <c r="A22" s="77">
        <v>21</v>
      </c>
      <c r="B22" t="s">
        <v>37</v>
      </c>
      <c r="C22" t="s">
        <v>363</v>
      </c>
      <c r="D22" t="s">
        <v>48</v>
      </c>
      <c r="E22" t="s">
        <v>561</v>
      </c>
      <c r="F22">
        <v>14470</v>
      </c>
      <c r="G22" t="str">
        <f>LOOKUP(B22,ΠΕΡΙΦΕΡΕΙΑ!$A$2:$A$14,ΠΕΡΙΦΕΡΕΙΑ!$B$2:$B$14)</f>
        <v>Μερική</v>
      </c>
      <c r="H22">
        <f t="shared" si="0"/>
        <v>21</v>
      </c>
      <c r="I22">
        <f t="shared" si="1"/>
        <v>21</v>
      </c>
      <c r="J22" t="str">
        <f t="shared" si="4"/>
        <v>ΣΟΥΦΛΙΟΥ - ΑΝΑΤΟΛΙΚΗΣ ΜΑΚΕΔΟΝΙΑΣ ΚΑΙ ΘΡΑΚΗΣ</v>
      </c>
      <c r="K22" t="str">
        <f t="shared" si="2"/>
        <v>ΑΝΑΤΟΛΙΚΗΣ ΜΑΚΕΔΟΝΙΑΣ ΚΑΙ ΘΡΑΚΗΣ</v>
      </c>
      <c r="L22" t="str">
        <f t="shared" si="3"/>
        <v>ΣΟΥΦΛΙΟΥ</v>
      </c>
      <c r="M22" s="65" t="s">
        <v>417</v>
      </c>
      <c r="N22" t="str">
        <f t="shared" si="5"/>
        <v xml:space="preserve">ΑΝΑΤΟΛΙΚΗΣ ΜΑΚΕΔΟΝΙΑΣ ΚΑΙ ΘΡΑΚΗΣ - ΣΟΥΦΛΙΟΥ, </v>
      </c>
      <c r="O2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</v>
      </c>
    </row>
    <row r="23" spans="1:15" x14ac:dyDescent="0.3">
      <c r="A23" s="77">
        <v>22</v>
      </c>
      <c r="B23" t="s">
        <v>37</v>
      </c>
      <c r="C23" t="s">
        <v>55</v>
      </c>
      <c r="D23" t="s">
        <v>56</v>
      </c>
      <c r="E23" t="s">
        <v>562</v>
      </c>
      <c r="F23">
        <v>14492</v>
      </c>
      <c r="G23" t="str">
        <f>LOOKUP(B23,ΠΕΡΙΦΕΡΕΙΑ!$A$2:$A$14,ΠΕΡΙΦΕΡΕΙΑ!$B$2:$B$14)</f>
        <v>Μερική</v>
      </c>
      <c r="H23">
        <f t="shared" si="0"/>
        <v>22</v>
      </c>
      <c r="I23">
        <f t="shared" si="1"/>
        <v>22</v>
      </c>
      <c r="J23" t="str">
        <f t="shared" si="4"/>
        <v>ΤΟΠΕΙΡΟΥ - ΑΝΑΤΟΛΙΚΗΣ ΜΑΚΕΔΟΝΙΑΣ ΚΑΙ ΘΡΑΚΗΣ</v>
      </c>
      <c r="K23" t="str">
        <f t="shared" si="2"/>
        <v>ΑΝΑΤΟΛΙΚΗΣ ΜΑΚΕΔΟΝΙΑΣ ΚΑΙ ΘΡΑΚΗΣ</v>
      </c>
      <c r="L23" t="str">
        <f t="shared" si="3"/>
        <v>ΤΟΠΕΙΡΟΥ</v>
      </c>
      <c r="M23" s="65" t="s">
        <v>418</v>
      </c>
      <c r="N23" t="str">
        <f t="shared" si="5"/>
        <v/>
      </c>
      <c r="O2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</v>
      </c>
    </row>
    <row r="24" spans="1:15" x14ac:dyDescent="0.3">
      <c r="A24" s="77">
        <v>23</v>
      </c>
      <c r="B24" t="s">
        <v>38</v>
      </c>
      <c r="C24" t="s">
        <v>368</v>
      </c>
      <c r="D24" t="s">
        <v>91</v>
      </c>
      <c r="E24" t="s">
        <v>563</v>
      </c>
      <c r="F24">
        <v>13922</v>
      </c>
      <c r="G24" t="str">
        <f>LOOKUP(B24,ΠΕΡΙΦΕΡΕΙΑ!$A$2:$A$14,ΠΕΡΙΦΕΡΕΙΑ!$B$2:$B$14)</f>
        <v>Μερική</v>
      </c>
      <c r="H24">
        <f t="shared" si="0"/>
        <v>23</v>
      </c>
      <c r="I24">
        <f t="shared" si="1"/>
        <v>23</v>
      </c>
      <c r="J24" t="str">
        <f t="shared" si="4"/>
        <v>ΑΓΙΑΣ ΒΑΡΒΑΡΑΣ - ΑΤΤΙΚΗΣ</v>
      </c>
      <c r="K24" t="str">
        <f t="shared" si="2"/>
        <v>ΑΤΤΙΚΗΣ</v>
      </c>
      <c r="L24" t="str">
        <f t="shared" si="3"/>
        <v>ΑΓΙΑΣ ΒΑΡΒΑΡΑΣ</v>
      </c>
      <c r="M24" s="65" t="s">
        <v>417</v>
      </c>
      <c r="N24" t="str">
        <f t="shared" si="5"/>
        <v xml:space="preserve">ΑΤΤΙΚΗΣ - ΑΓΙΑΣ ΒΑΡΒΑΡΑΣ, </v>
      </c>
      <c r="O2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</v>
      </c>
    </row>
    <row r="25" spans="1:15" x14ac:dyDescent="0.3">
      <c r="A25" s="77">
        <v>24</v>
      </c>
      <c r="B25" t="s">
        <v>38</v>
      </c>
      <c r="C25" t="s">
        <v>366</v>
      </c>
      <c r="D25" t="s">
        <v>74</v>
      </c>
      <c r="E25" t="s">
        <v>564</v>
      </c>
      <c r="F25">
        <v>13924</v>
      </c>
      <c r="G25" t="str">
        <f>LOOKUP(B25,ΠΕΡΙΦΕΡΕΙΑ!$A$2:$A$14,ΠΕΡΙΦΕΡΕΙΑ!$B$2:$B$14)</f>
        <v>Μερική</v>
      </c>
      <c r="H25">
        <f t="shared" si="0"/>
        <v>24</v>
      </c>
      <c r="I25">
        <f t="shared" si="1"/>
        <v>24</v>
      </c>
      <c r="J25" t="str">
        <f t="shared" si="4"/>
        <v>ΑΓΙΑΣ ΠΑΡΑΣΚΕΥΗΣ - ΑΤΤΙΚΗΣ</v>
      </c>
      <c r="K25" t="str">
        <f t="shared" si="2"/>
        <v>ΑΤΤΙΚΗΣ</v>
      </c>
      <c r="L25" t="str">
        <f t="shared" si="3"/>
        <v>ΑΓΙΑΣ ΠΑΡΑΣΚΕΥΗΣ</v>
      </c>
      <c r="M25" s="65" t="s">
        <v>417</v>
      </c>
      <c r="N25" t="str">
        <f t="shared" si="5"/>
        <v xml:space="preserve">ΑΤΤΙΚΗΣ - ΑΓΙΑΣ ΠΑΡΑΣΚΕΥΗΣ, </v>
      </c>
      <c r="O2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</v>
      </c>
    </row>
    <row r="26" spans="1:15" x14ac:dyDescent="0.3">
      <c r="A26" s="77">
        <v>25</v>
      </c>
      <c r="B26" t="s">
        <v>38</v>
      </c>
      <c r="C26" t="s">
        <v>371</v>
      </c>
      <c r="D26" t="s">
        <v>114</v>
      </c>
      <c r="E26" t="s">
        <v>565</v>
      </c>
      <c r="F26">
        <v>13926</v>
      </c>
      <c r="G26" t="str">
        <f>LOOKUP(B26,ΠΕΡΙΦΕΡΕΙΑ!$A$2:$A$14,ΠΕΡΙΦΕΡΕΙΑ!$B$2:$B$14)</f>
        <v>Μερική</v>
      </c>
      <c r="H26">
        <f t="shared" si="0"/>
        <v>25</v>
      </c>
      <c r="I26">
        <f t="shared" si="1"/>
        <v>25</v>
      </c>
      <c r="J26" t="str">
        <f t="shared" si="4"/>
        <v>ΑΓΙΟΥ ΔΗΜΗΤΡΙΟΥ - ΑΤΤΙΚΗΣ</v>
      </c>
      <c r="K26" t="str">
        <f t="shared" si="2"/>
        <v>ΑΤΤΙΚΗΣ</v>
      </c>
      <c r="L26" t="str">
        <f t="shared" si="3"/>
        <v>ΑΓΙΟΥ ΔΗΜΗΤΡΙΟΥ</v>
      </c>
      <c r="M26" s="65" t="s">
        <v>417</v>
      </c>
      <c r="N26" t="str">
        <f t="shared" si="5"/>
        <v xml:space="preserve">ΑΤΤΙΚΗΣ - ΑΓΙΟΥ ΔΗΜΗΤΡΙΟΥ, </v>
      </c>
      <c r="O2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</v>
      </c>
    </row>
    <row r="27" spans="1:15" x14ac:dyDescent="0.3">
      <c r="A27" s="77">
        <v>26</v>
      </c>
      <c r="B27" t="s">
        <v>38</v>
      </c>
      <c r="C27" t="s">
        <v>368</v>
      </c>
      <c r="D27" t="s">
        <v>92</v>
      </c>
      <c r="E27" t="s">
        <v>566</v>
      </c>
      <c r="F27">
        <v>13932</v>
      </c>
      <c r="G27" t="str">
        <f>LOOKUP(B27,ΠΕΡΙΦΕΡΕΙΑ!$A$2:$A$14,ΠΕΡΙΦΕΡΕΙΑ!$B$2:$B$14)</f>
        <v>Μερική</v>
      </c>
      <c r="H27">
        <f t="shared" si="0"/>
        <v>26</v>
      </c>
      <c r="I27">
        <f t="shared" si="1"/>
        <v>26</v>
      </c>
      <c r="J27" t="str">
        <f t="shared" si="4"/>
        <v>ΑΓΙΩΝ ΑΝΑΡΓΥΡΩΝ – ΚΑΜΑΤΕΡΟΥ - ΑΤΤΙΚΗΣ</v>
      </c>
      <c r="K27" t="str">
        <f t="shared" si="2"/>
        <v>ΑΤΤΙΚΗΣ</v>
      </c>
      <c r="L27" t="str">
        <f t="shared" si="3"/>
        <v>ΑΓΙΩΝ ΑΝΑΡΓΥΡΩΝ – ΚΑΜΑΤΕΡΟΥ</v>
      </c>
      <c r="M27" s="65" t="s">
        <v>417</v>
      </c>
      <c r="N27" t="str">
        <f t="shared" si="5"/>
        <v xml:space="preserve">ΑΤΤΙΚΗΣ - ΑΓΙΩΝ ΑΝΑΡΓΥΡΩΝ – ΚΑΜΑΤΕΡΟΥ, </v>
      </c>
      <c r="O2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</v>
      </c>
    </row>
    <row r="28" spans="1:15" x14ac:dyDescent="0.3">
      <c r="A28" s="77">
        <v>27</v>
      </c>
      <c r="B28" t="s">
        <v>38</v>
      </c>
      <c r="C28" t="s">
        <v>370</v>
      </c>
      <c r="D28" t="s">
        <v>106</v>
      </c>
      <c r="E28" t="s">
        <v>567</v>
      </c>
      <c r="F28">
        <v>13934</v>
      </c>
      <c r="G28" t="str">
        <f>LOOKUP(B28,ΠΕΡΙΦΕΡΕΙΑ!$A$2:$A$14,ΠΕΡΙΦΕΡΕΙΑ!$B$2:$B$14)</f>
        <v>Μερική</v>
      </c>
      <c r="H28">
        <f t="shared" si="0"/>
        <v>27</v>
      </c>
      <c r="I28">
        <f t="shared" si="1"/>
        <v>27</v>
      </c>
      <c r="J28" t="str">
        <f t="shared" si="4"/>
        <v>ΑΓΚΙΣΤΡΙΟΥ - ΑΤΤΙΚΗΣ</v>
      </c>
      <c r="K28" t="str">
        <f t="shared" si="2"/>
        <v>ΑΤΤΙΚΗΣ</v>
      </c>
      <c r="L28" t="str">
        <f t="shared" si="3"/>
        <v>ΑΓΚΙΣΤΡΙΟΥ</v>
      </c>
      <c r="M28" s="65" t="s">
        <v>418</v>
      </c>
      <c r="N28" t="str">
        <f t="shared" si="5"/>
        <v/>
      </c>
      <c r="O2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</v>
      </c>
    </row>
    <row r="29" spans="1:15" x14ac:dyDescent="0.3">
      <c r="A29" s="77">
        <v>28</v>
      </c>
      <c r="B29" t="s">
        <v>38</v>
      </c>
      <c r="C29" t="s">
        <v>369</v>
      </c>
      <c r="D29" t="s">
        <v>98</v>
      </c>
      <c r="E29" t="s">
        <v>568</v>
      </c>
      <c r="F29">
        <v>13944</v>
      </c>
      <c r="G29" t="str">
        <f>LOOKUP(B29,ΠΕΡΙΦΕΡΕΙΑ!$A$2:$A$14,ΠΕΡΙΦΕΡΕΙΑ!$B$2:$B$14)</f>
        <v>Μερική</v>
      </c>
      <c r="H29">
        <f t="shared" si="0"/>
        <v>28</v>
      </c>
      <c r="I29">
        <f t="shared" si="1"/>
        <v>28</v>
      </c>
      <c r="J29" t="str">
        <f t="shared" si="4"/>
        <v>ΑΘΗΝΑΙΩΝ - ΑΤΤΙΚΗΣ</v>
      </c>
      <c r="K29" t="str">
        <f t="shared" si="2"/>
        <v>ΑΤΤΙΚΗΣ</v>
      </c>
      <c r="L29" t="str">
        <f t="shared" si="3"/>
        <v>ΑΘΗΝΑΙΩΝ</v>
      </c>
      <c r="M29" s="65" t="s">
        <v>417</v>
      </c>
      <c r="N29" t="str">
        <f t="shared" si="5"/>
        <v xml:space="preserve">ΑΤΤΙΚΗΣ - ΑΘΗΝΑΙΩΝ, </v>
      </c>
      <c r="O2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</v>
      </c>
    </row>
    <row r="30" spans="1:15" x14ac:dyDescent="0.3">
      <c r="A30" s="77">
        <v>29</v>
      </c>
      <c r="B30" t="s">
        <v>38</v>
      </c>
      <c r="C30" t="s">
        <v>368</v>
      </c>
      <c r="D30" t="s">
        <v>93</v>
      </c>
      <c r="E30" t="s">
        <v>569</v>
      </c>
      <c r="F30">
        <v>13946</v>
      </c>
      <c r="G30" t="str">
        <f>LOOKUP(B30,ΠΕΡΙΦΕΡΕΙΑ!$A$2:$A$14,ΠΕΡΙΦΕΡΕΙΑ!$B$2:$B$14)</f>
        <v>Μερική</v>
      </c>
      <c r="H30">
        <f t="shared" si="0"/>
        <v>29</v>
      </c>
      <c r="I30">
        <f t="shared" si="1"/>
        <v>29</v>
      </c>
      <c r="J30" t="str">
        <f t="shared" si="4"/>
        <v>ΑΙΓΑΛΕΩ - ΑΤΤΙΚΗΣ</v>
      </c>
      <c r="K30" t="str">
        <f t="shared" si="2"/>
        <v>ΑΤΤΙΚΗΣ</v>
      </c>
      <c r="L30" t="str">
        <f t="shared" si="3"/>
        <v>ΑΙΓΑΛΕΩ</v>
      </c>
      <c r="M30" s="65" t="s">
        <v>417</v>
      </c>
      <c r="N30" t="str">
        <f t="shared" si="5"/>
        <v xml:space="preserve">ΑΤΤΙΚΗΣ - ΑΙΓΑΛΕΩ, </v>
      </c>
      <c r="O3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</v>
      </c>
    </row>
    <row r="31" spans="1:15" x14ac:dyDescent="0.3">
      <c r="A31" s="77">
        <v>30</v>
      </c>
      <c r="B31" t="s">
        <v>38</v>
      </c>
      <c r="C31" t="s">
        <v>370</v>
      </c>
      <c r="D31" t="s">
        <v>107</v>
      </c>
      <c r="E31" t="s">
        <v>570</v>
      </c>
      <c r="F31">
        <v>13948</v>
      </c>
      <c r="G31" t="str">
        <f>LOOKUP(B31,ΠΕΡΙΦΕΡΕΙΑ!$A$2:$A$14,ΠΕΡΙΦΕΡΕΙΑ!$B$2:$B$14)</f>
        <v>Μερική</v>
      </c>
      <c r="H31">
        <f t="shared" si="0"/>
        <v>30</v>
      </c>
      <c r="I31">
        <f t="shared" si="1"/>
        <v>30</v>
      </c>
      <c r="J31" t="str">
        <f t="shared" si="4"/>
        <v>ΑΙΓΙΝΑΣ - ΑΤΤΙΚΗΣ</v>
      </c>
      <c r="K31" t="str">
        <f t="shared" si="2"/>
        <v>ΑΤΤΙΚΗΣ</v>
      </c>
      <c r="L31" t="str">
        <f t="shared" si="3"/>
        <v>ΑΙΓΙΝΑΣ</v>
      </c>
      <c r="M31" s="65" t="s">
        <v>417</v>
      </c>
      <c r="N31" t="str">
        <f t="shared" si="5"/>
        <v xml:space="preserve">ΑΤΤΙΚΗΣ - ΑΙΓΙΝΑΣ, </v>
      </c>
      <c r="O3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</v>
      </c>
    </row>
    <row r="32" spans="1:15" x14ac:dyDescent="0.3">
      <c r="A32" s="77">
        <v>31</v>
      </c>
      <c r="B32" t="s">
        <v>38</v>
      </c>
      <c r="C32" t="s">
        <v>371</v>
      </c>
      <c r="D32" t="s">
        <v>115</v>
      </c>
      <c r="E32" t="s">
        <v>571</v>
      </c>
      <c r="F32">
        <v>13956</v>
      </c>
      <c r="G32" t="str">
        <f>LOOKUP(B32,ΠΕΡΙΦΕΡΕΙΑ!$A$2:$A$14,ΠΕΡΙΦΕΡΕΙΑ!$B$2:$B$14)</f>
        <v>Μερική</v>
      </c>
      <c r="H32">
        <f t="shared" si="0"/>
        <v>31</v>
      </c>
      <c r="I32">
        <f t="shared" si="1"/>
        <v>31</v>
      </c>
      <c r="J32" t="str">
        <f t="shared" si="4"/>
        <v>ΑΛΙΜΟΥ - ΑΤΤΙΚΗΣ</v>
      </c>
      <c r="K32" t="str">
        <f t="shared" si="2"/>
        <v>ΑΤΤΙΚΗΣ</v>
      </c>
      <c r="L32" t="str">
        <f t="shared" si="3"/>
        <v>ΑΛΙΜΟΥ</v>
      </c>
      <c r="M32" s="65" t="s">
        <v>417</v>
      </c>
      <c r="N32" t="str">
        <f t="shared" si="5"/>
        <v xml:space="preserve">ΑΤΤΙΚΗΣ - ΑΛΙΜΟΥ, </v>
      </c>
      <c r="O3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</v>
      </c>
    </row>
    <row r="33" spans="1:15" x14ac:dyDescent="0.3">
      <c r="A33" s="77">
        <v>32</v>
      </c>
      <c r="B33" t="s">
        <v>38</v>
      </c>
      <c r="C33" t="s">
        <v>366</v>
      </c>
      <c r="D33" t="s">
        <v>75</v>
      </c>
      <c r="E33" t="s">
        <v>572</v>
      </c>
      <c r="F33">
        <v>13964</v>
      </c>
      <c r="G33" t="str">
        <f>LOOKUP(B33,ΠΕΡΙΦΕΡΕΙΑ!$A$2:$A$14,ΠΕΡΙΦΕΡΕΙΑ!$B$2:$B$14)</f>
        <v>Μερική</v>
      </c>
      <c r="H33">
        <f t="shared" si="0"/>
        <v>32</v>
      </c>
      <c r="I33">
        <f t="shared" si="1"/>
        <v>32</v>
      </c>
      <c r="J33" t="str">
        <f t="shared" si="4"/>
        <v>ΑΜΑΡΟΥΣΙΟΥ - ΑΤΤΙΚΗΣ</v>
      </c>
      <c r="K33" t="str">
        <f t="shared" si="2"/>
        <v>ΑΤΤΙΚΗΣ</v>
      </c>
      <c r="L33" t="str">
        <f t="shared" si="3"/>
        <v>ΑΜΑΡΟΥΣΙΟΥ</v>
      </c>
      <c r="M33" s="65" t="s">
        <v>417</v>
      </c>
      <c r="N33" t="str">
        <f t="shared" si="5"/>
        <v xml:space="preserve">ΑΤΤΙΚΗΣ - ΑΜΑΡΟΥΣΙΟΥ, </v>
      </c>
      <c r="O3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</v>
      </c>
    </row>
    <row r="34" spans="1:15" x14ac:dyDescent="0.3">
      <c r="A34" s="77">
        <v>33</v>
      </c>
      <c r="B34" t="s">
        <v>38</v>
      </c>
      <c r="C34" t="s">
        <v>367</v>
      </c>
      <c r="D34" t="s">
        <v>86</v>
      </c>
      <c r="E34" t="s">
        <v>573</v>
      </c>
      <c r="F34">
        <v>14004</v>
      </c>
      <c r="G34" t="str">
        <f>LOOKUP(B34,ΠΕΡΙΦΕΡΕΙΑ!$A$2:$A$14,ΠΕΡΙΦΕΡΕΙΑ!$B$2:$B$14)</f>
        <v>Μερική</v>
      </c>
      <c r="H34">
        <f t="shared" si="0"/>
        <v>33</v>
      </c>
      <c r="I34">
        <f t="shared" si="1"/>
        <v>33</v>
      </c>
      <c r="J34" t="str">
        <f t="shared" si="4"/>
        <v>ΑΣΠΡΟΠΥΡΓΟΥ - ΑΤΤΙΚΗΣ</v>
      </c>
      <c r="K34" t="str">
        <f t="shared" si="2"/>
        <v>ΑΤΤΙΚΗΣ</v>
      </c>
      <c r="L34" t="str">
        <f t="shared" si="3"/>
        <v>ΑΣΠΡΟΠΥΡΓΟΥ</v>
      </c>
      <c r="M34" s="65" t="s">
        <v>417</v>
      </c>
      <c r="N34" t="str">
        <f t="shared" si="5"/>
        <v xml:space="preserve">ΑΤΤΙΚΗΣ - ΑΣΠΡΟΠΥΡΓΟΥ, </v>
      </c>
      <c r="O3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</v>
      </c>
    </row>
    <row r="35" spans="1:15" x14ac:dyDescent="0.3">
      <c r="A35" s="77">
        <v>34</v>
      </c>
      <c r="B35" t="s">
        <v>38</v>
      </c>
      <c r="C35" t="s">
        <v>365</v>
      </c>
      <c r="D35" t="s">
        <v>61</v>
      </c>
      <c r="E35" t="s">
        <v>574</v>
      </c>
      <c r="F35">
        <v>14008</v>
      </c>
      <c r="G35" t="str">
        <f>LOOKUP(B35,ΠΕΡΙΦΕΡΕΙΑ!$A$2:$A$14,ΠΕΡΙΦΕΡΕΙΑ!$B$2:$B$14)</f>
        <v>Μερική</v>
      </c>
      <c r="H35">
        <f t="shared" si="0"/>
        <v>34</v>
      </c>
      <c r="I35">
        <f t="shared" si="1"/>
        <v>34</v>
      </c>
      <c r="J35" t="str">
        <f t="shared" si="4"/>
        <v>ΑΧΑΡΝΩΝ - ΑΤΤΙΚΗΣ</v>
      </c>
      <c r="K35" t="str">
        <f t="shared" si="2"/>
        <v>ΑΤΤΙΚΗΣ</v>
      </c>
      <c r="L35" t="str">
        <f t="shared" si="3"/>
        <v>ΑΧΑΡΝΩΝ</v>
      </c>
      <c r="M35" s="65" t="s">
        <v>417</v>
      </c>
      <c r="N35" t="str">
        <f t="shared" si="5"/>
        <v xml:space="preserve">ΑΤΤΙΚΗΣ - ΑΧΑΡΝΩΝ, </v>
      </c>
      <c r="O3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</v>
      </c>
    </row>
    <row r="36" spans="1:15" x14ac:dyDescent="0.3">
      <c r="A36" s="77">
        <v>35</v>
      </c>
      <c r="B36" t="s">
        <v>38</v>
      </c>
      <c r="C36" t="s">
        <v>365</v>
      </c>
      <c r="D36" t="s">
        <v>62</v>
      </c>
      <c r="E36" t="s">
        <v>575</v>
      </c>
      <c r="F36">
        <v>14010</v>
      </c>
      <c r="G36" t="str">
        <f>LOOKUP(B36,ΠΕΡΙΦΕΡΕΙΑ!$A$2:$A$14,ΠΕΡΙΦΕΡΕΙΑ!$B$2:$B$14)</f>
        <v>Μερική</v>
      </c>
      <c r="H36">
        <f t="shared" si="0"/>
        <v>35</v>
      </c>
      <c r="I36">
        <f t="shared" si="1"/>
        <v>35</v>
      </c>
      <c r="J36" t="str">
        <f t="shared" si="4"/>
        <v>ΒΑΡΗΣ – ΒΟΥΛΑΣ – ΒΟΥΛΙΑΓΜΕΝΗΣ - ΑΤΤΙΚΗΣ</v>
      </c>
      <c r="K36" t="str">
        <f t="shared" si="2"/>
        <v>ΑΤΤΙΚΗΣ</v>
      </c>
      <c r="L36" t="str">
        <f t="shared" si="3"/>
        <v>ΒΑΡΗΣ – ΒΟΥΛΑΣ – ΒΟΥΛΙΑΓΜΕΝΗΣ</v>
      </c>
      <c r="M36" s="65" t="s">
        <v>417</v>
      </c>
      <c r="N36" t="str">
        <f t="shared" si="5"/>
        <v xml:space="preserve">ΑΤΤΙΚΗΣ - ΒΑΡΗΣ – ΒΟΥΛΑΣ – ΒΟΥΛΙΑΓΜΕΝΗΣ, </v>
      </c>
      <c r="O3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</v>
      </c>
    </row>
    <row r="37" spans="1:15" x14ac:dyDescent="0.3">
      <c r="A37" s="77">
        <v>36</v>
      </c>
      <c r="B37" t="s">
        <v>38</v>
      </c>
      <c r="C37" t="s">
        <v>366</v>
      </c>
      <c r="D37" t="s">
        <v>76</v>
      </c>
      <c r="E37" t="s">
        <v>576</v>
      </c>
      <c r="F37">
        <v>14024</v>
      </c>
      <c r="G37" t="str">
        <f>LOOKUP(B37,ΠΕΡΙΦΕΡΕΙΑ!$A$2:$A$14,ΠΕΡΙΦΕΡΕΙΑ!$B$2:$B$14)</f>
        <v>Μερική</v>
      </c>
      <c r="H37">
        <f t="shared" si="0"/>
        <v>36</v>
      </c>
      <c r="I37">
        <f t="shared" si="1"/>
        <v>36</v>
      </c>
      <c r="J37" t="str">
        <f t="shared" si="4"/>
        <v>ΒΡΙΛΗΣΣΙΩΝ - ΑΤΤΙΚΗΣ</v>
      </c>
      <c r="K37" t="str">
        <f t="shared" si="2"/>
        <v>ΑΤΤΙΚΗΣ</v>
      </c>
      <c r="L37" t="str">
        <f t="shared" si="3"/>
        <v>ΒΡΙΛΗΣΣΙΩΝ</v>
      </c>
      <c r="M37" s="65" t="s">
        <v>417</v>
      </c>
      <c r="N37" t="str">
        <f t="shared" si="5"/>
        <v xml:space="preserve">ΑΤΤΙΚΗΣ - ΒΡΙΛΗΣΣΙΩΝ, </v>
      </c>
      <c r="O3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</v>
      </c>
    </row>
    <row r="38" spans="1:15" x14ac:dyDescent="0.3">
      <c r="A38" s="77">
        <v>37</v>
      </c>
      <c r="B38" t="s">
        <v>38</v>
      </c>
      <c r="C38" t="s">
        <v>369</v>
      </c>
      <c r="D38" t="s">
        <v>99</v>
      </c>
      <c r="E38" t="s">
        <v>577</v>
      </c>
      <c r="F38">
        <v>14032</v>
      </c>
      <c r="G38" t="str">
        <f>LOOKUP(B38,ΠΕΡΙΦΕΡΕΙΑ!$A$2:$A$14,ΠΕΡΙΦΕΡΕΙΑ!$B$2:$B$14)</f>
        <v>Μερική</v>
      </c>
      <c r="H38">
        <f t="shared" si="0"/>
        <v>37</v>
      </c>
      <c r="I38">
        <f t="shared" si="1"/>
        <v>37</v>
      </c>
      <c r="J38" t="str">
        <f t="shared" si="4"/>
        <v>ΒΥΡΩΝΟΣ - ΑΤΤΙΚΗΣ</v>
      </c>
      <c r="K38" t="str">
        <f t="shared" si="2"/>
        <v>ΑΤΤΙΚΗΣ</v>
      </c>
      <c r="L38" t="str">
        <f t="shared" si="3"/>
        <v>ΒΥΡΩΝΟΣ</v>
      </c>
      <c r="M38" s="65" t="s">
        <v>417</v>
      </c>
      <c r="N38" t="str">
        <f t="shared" si="5"/>
        <v xml:space="preserve">ΑΤΤΙΚΗΣ - ΒΥΡΩΝΟΣ, </v>
      </c>
      <c r="O3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</v>
      </c>
    </row>
    <row r="39" spans="1:15" x14ac:dyDescent="0.3">
      <c r="A39" s="77">
        <v>38</v>
      </c>
      <c r="B39" t="s">
        <v>38</v>
      </c>
      <c r="C39" t="s">
        <v>369</v>
      </c>
      <c r="D39" t="s">
        <v>100</v>
      </c>
      <c r="E39" t="s">
        <v>578</v>
      </c>
      <c r="F39">
        <v>14036</v>
      </c>
      <c r="G39" t="str">
        <f>LOOKUP(B39,ΠΕΡΙΦΕΡΕΙΑ!$A$2:$A$14,ΠΕΡΙΦΕΡΕΙΑ!$B$2:$B$14)</f>
        <v>Μερική</v>
      </c>
      <c r="H39">
        <f t="shared" si="0"/>
        <v>38</v>
      </c>
      <c r="I39">
        <f t="shared" si="1"/>
        <v>38</v>
      </c>
      <c r="J39" t="str">
        <f t="shared" si="4"/>
        <v>ΓΑΛΑΤΣΙΟΥ - ΑΤΤΙΚΗΣ</v>
      </c>
      <c r="K39" t="str">
        <f t="shared" si="2"/>
        <v>ΑΤΤΙΚΗΣ</v>
      </c>
      <c r="L39" t="str">
        <f t="shared" si="3"/>
        <v>ΓΑΛΑΤΣΙΟΥ</v>
      </c>
      <c r="M39" s="65" t="s">
        <v>417</v>
      </c>
      <c r="N39" t="str">
        <f t="shared" si="5"/>
        <v xml:space="preserve">ΑΤΤΙΚΗΣ - ΓΑΛΑΤΣΙΟΥ, </v>
      </c>
      <c r="O3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</v>
      </c>
    </row>
    <row r="40" spans="1:15" x14ac:dyDescent="0.3">
      <c r="A40" s="77">
        <v>39</v>
      </c>
      <c r="B40" t="s">
        <v>38</v>
      </c>
      <c r="C40" t="s">
        <v>371</v>
      </c>
      <c r="D40" t="s">
        <v>116</v>
      </c>
      <c r="E40" t="s">
        <v>579</v>
      </c>
      <c r="F40">
        <v>14040</v>
      </c>
      <c r="G40" t="str">
        <f>LOOKUP(B40,ΠΕΡΙΦΕΡΕΙΑ!$A$2:$A$14,ΠΕΡΙΦΕΡΕΙΑ!$B$2:$B$14)</f>
        <v>Μερική</v>
      </c>
      <c r="H40">
        <f t="shared" si="0"/>
        <v>39</v>
      </c>
      <c r="I40">
        <f t="shared" si="1"/>
        <v>39</v>
      </c>
      <c r="J40" t="str">
        <f t="shared" si="4"/>
        <v>ΓΛΥΦΑΔΑΣ - ΑΤΤΙΚΗΣ</v>
      </c>
      <c r="K40" t="str">
        <f t="shared" si="2"/>
        <v>ΑΤΤΙΚΗΣ</v>
      </c>
      <c r="L40" t="str">
        <f t="shared" si="3"/>
        <v>ΓΛΥΦΑΔΑΣ</v>
      </c>
      <c r="M40" s="65" t="s">
        <v>417</v>
      </c>
      <c r="N40" t="str">
        <f t="shared" si="5"/>
        <v xml:space="preserve">ΑΤΤΙΚΗΣ - ΓΛΥΦΑΔΑΣ, </v>
      </c>
      <c r="O4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</v>
      </c>
    </row>
    <row r="41" spans="1:15" x14ac:dyDescent="0.3">
      <c r="A41" s="77">
        <v>40</v>
      </c>
      <c r="B41" t="s">
        <v>38</v>
      </c>
      <c r="C41" t="s">
        <v>369</v>
      </c>
      <c r="D41" t="s">
        <v>101</v>
      </c>
      <c r="E41" t="s">
        <v>580</v>
      </c>
      <c r="F41">
        <v>14048</v>
      </c>
      <c r="G41" t="str">
        <f>LOOKUP(B41,ΠΕΡΙΦΕΡΕΙΑ!$A$2:$A$14,ΠΕΡΙΦΕΡΕΙΑ!$B$2:$B$14)</f>
        <v>Μερική</v>
      </c>
      <c r="H41">
        <f t="shared" si="0"/>
        <v>40</v>
      </c>
      <c r="I41">
        <f t="shared" si="1"/>
        <v>40</v>
      </c>
      <c r="J41" t="str">
        <f t="shared" si="4"/>
        <v>ΔΑΦΝΗΣ – ΥΜΗΤΤΟΥ - ΑΤΤΙΚΗΣ</v>
      </c>
      <c r="K41" t="str">
        <f t="shared" si="2"/>
        <v>ΑΤΤΙΚΗΣ</v>
      </c>
      <c r="L41" t="str">
        <f t="shared" si="3"/>
        <v>ΔΑΦΝΗΣ – ΥΜΗΤΤΟΥ</v>
      </c>
      <c r="M41" s="65" t="s">
        <v>417</v>
      </c>
      <c r="N41" t="str">
        <f t="shared" si="5"/>
        <v xml:space="preserve">ΑΤΤΙΚΗΣ - ΔΑΦΝΗΣ – ΥΜΗΤΤΟΥ, </v>
      </c>
      <c r="O4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</v>
      </c>
    </row>
    <row r="42" spans="1:15" x14ac:dyDescent="0.3">
      <c r="A42" s="77">
        <v>41</v>
      </c>
      <c r="B42" t="s">
        <v>38</v>
      </c>
      <c r="C42" t="s">
        <v>365</v>
      </c>
      <c r="D42" t="s">
        <v>63</v>
      </c>
      <c r="E42" t="s">
        <v>581</v>
      </c>
      <c r="F42">
        <v>14060</v>
      </c>
      <c r="G42" t="str">
        <f>LOOKUP(B42,ΠΕΡΙΦΕΡΕΙΑ!$A$2:$A$14,ΠΕΡΙΦΕΡΕΙΑ!$B$2:$B$14)</f>
        <v>Μερική</v>
      </c>
      <c r="H42">
        <f t="shared" si="0"/>
        <v>41</v>
      </c>
      <c r="I42">
        <f t="shared" si="1"/>
        <v>41</v>
      </c>
      <c r="J42" t="str">
        <f t="shared" si="4"/>
        <v>ΔΙΟΝΥΣΟΥ - ΑΤΤΙΚΗΣ</v>
      </c>
      <c r="K42" t="str">
        <f t="shared" si="2"/>
        <v>ΑΤΤΙΚΗΣ</v>
      </c>
      <c r="L42" t="str">
        <f t="shared" si="3"/>
        <v>ΔΙΟΝΥΣΟΥ</v>
      </c>
      <c r="M42" s="65" t="s">
        <v>417</v>
      </c>
      <c r="N42" t="str">
        <f t="shared" si="5"/>
        <v xml:space="preserve">ΑΤΤΙΚΗΣ - ΔΙΟΝΥΣΟΥ, </v>
      </c>
      <c r="O4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</v>
      </c>
    </row>
    <row r="43" spans="1:15" x14ac:dyDescent="0.3">
      <c r="A43" s="77">
        <v>42</v>
      </c>
      <c r="B43" t="s">
        <v>38</v>
      </c>
      <c r="C43" t="s">
        <v>367</v>
      </c>
      <c r="D43" t="s">
        <v>87</v>
      </c>
      <c r="E43" t="s">
        <v>582</v>
      </c>
      <c r="F43">
        <v>14084</v>
      </c>
      <c r="G43" t="str">
        <f>LOOKUP(B43,ΠΕΡΙΦΕΡΕΙΑ!$A$2:$A$14,ΠΕΡΙΦΕΡΕΙΑ!$B$2:$B$14)</f>
        <v>Μερική</v>
      </c>
      <c r="H43">
        <f t="shared" si="0"/>
        <v>42</v>
      </c>
      <c r="I43">
        <f t="shared" si="1"/>
        <v>42</v>
      </c>
      <c r="J43" t="str">
        <f t="shared" si="4"/>
        <v>ΕΛΕΥΣΙΝΑΣ - ΑΤΤΙΚΗΣ</v>
      </c>
      <c r="K43" t="str">
        <f t="shared" si="2"/>
        <v>ΑΤΤΙΚΗΣ</v>
      </c>
      <c r="L43" t="str">
        <f t="shared" si="3"/>
        <v>ΕΛΕΥΣΙΝΑΣ</v>
      </c>
      <c r="M43" s="65" t="s">
        <v>417</v>
      </c>
      <c r="N43" t="str">
        <f t="shared" si="5"/>
        <v xml:space="preserve">ΑΤΤΙΚΗΣ - ΕΛΕΥΣΙΝΑΣ, </v>
      </c>
      <c r="O4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</v>
      </c>
    </row>
    <row r="44" spans="1:15" x14ac:dyDescent="0.3">
      <c r="A44" s="77">
        <v>43</v>
      </c>
      <c r="B44" t="s">
        <v>38</v>
      </c>
      <c r="C44" t="s">
        <v>371</v>
      </c>
      <c r="D44" t="s">
        <v>117</v>
      </c>
      <c r="E44" t="s">
        <v>583</v>
      </c>
      <c r="F44">
        <v>14086</v>
      </c>
      <c r="G44" t="str">
        <f>LOOKUP(B44,ΠΕΡΙΦΕΡΕΙΑ!$A$2:$A$14,ΠΕΡΙΦΕΡΕΙΑ!$B$2:$B$14)</f>
        <v>Μερική</v>
      </c>
      <c r="H44">
        <f t="shared" si="0"/>
        <v>43</v>
      </c>
      <c r="I44">
        <f t="shared" si="1"/>
        <v>43</v>
      </c>
      <c r="J44" t="str">
        <f t="shared" si="4"/>
        <v>ΕΛΛΗΝΙΚΟΥ – ΑΡΓΥΡΟΥΠΟΛΗΣ - ΑΤΤΙΚΗΣ</v>
      </c>
      <c r="K44" t="str">
        <f t="shared" si="2"/>
        <v>ΑΤΤΙΚΗΣ</v>
      </c>
      <c r="L44" t="str">
        <f t="shared" si="3"/>
        <v>ΕΛΛΗΝΙΚΟΥ – ΑΡΓΥΡΟΥΠΟΛΗΣ</v>
      </c>
      <c r="M44" s="65" t="s">
        <v>417</v>
      </c>
      <c r="N44" t="str">
        <f t="shared" si="5"/>
        <v xml:space="preserve">ΑΤΤΙΚΗΣ - ΕΛΛΗΝΙΚΟΥ – ΑΡΓΥΡΟΥΠΟΛΗΣ, </v>
      </c>
      <c r="O4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</v>
      </c>
    </row>
    <row r="45" spans="1:15" x14ac:dyDescent="0.3">
      <c r="A45" s="77">
        <v>44</v>
      </c>
      <c r="B45" t="s">
        <v>38</v>
      </c>
      <c r="C45" t="s">
        <v>369</v>
      </c>
      <c r="D45" t="s">
        <v>102</v>
      </c>
      <c r="E45" t="s">
        <v>584</v>
      </c>
      <c r="F45">
        <v>14116</v>
      </c>
      <c r="G45" t="str">
        <f>LOOKUP(B45,ΠΕΡΙΦΕΡΕΙΑ!$A$2:$A$14,ΠΕΡΙΦΕΡΕΙΑ!$B$2:$B$14)</f>
        <v>Μερική</v>
      </c>
      <c r="H45">
        <f t="shared" si="0"/>
        <v>44</v>
      </c>
      <c r="I45">
        <f t="shared" si="1"/>
        <v>44</v>
      </c>
      <c r="J45" t="str">
        <f t="shared" si="4"/>
        <v>ΖΩΓΡΑΦΟΥ - ΑΤΤΙΚΗΣ</v>
      </c>
      <c r="K45" t="str">
        <f t="shared" si="2"/>
        <v>ΑΤΤΙΚΗΣ</v>
      </c>
      <c r="L45" t="str">
        <f t="shared" si="3"/>
        <v>ΖΩΓΡΑΦΟΥ</v>
      </c>
      <c r="M45" s="65" t="s">
        <v>417</v>
      </c>
      <c r="N45" t="str">
        <f t="shared" si="5"/>
        <v xml:space="preserve">ΑΤΤΙΚΗΣ - ΖΩΓΡΑΦΟΥ, </v>
      </c>
      <c r="O4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</v>
      </c>
    </row>
    <row r="46" spans="1:15" x14ac:dyDescent="0.3">
      <c r="A46" s="77">
        <v>45</v>
      </c>
      <c r="B46" t="s">
        <v>38</v>
      </c>
      <c r="C46" t="s">
        <v>369</v>
      </c>
      <c r="D46" t="s">
        <v>103</v>
      </c>
      <c r="E46" t="s">
        <v>585</v>
      </c>
      <c r="F46">
        <v>14120</v>
      </c>
      <c r="G46" t="str">
        <f>LOOKUP(B46,ΠΕΡΙΦΕΡΕΙΑ!$A$2:$A$14,ΠΕΡΙΦΕΡΕΙΑ!$B$2:$B$14)</f>
        <v>Μερική</v>
      </c>
      <c r="H46">
        <f t="shared" si="0"/>
        <v>45</v>
      </c>
      <c r="I46">
        <f t="shared" si="1"/>
        <v>45</v>
      </c>
      <c r="J46" t="str">
        <f t="shared" si="4"/>
        <v>ΗΛΙΟΥΠΟΛΕΩΣ - ΑΤΤΙΚΗΣ</v>
      </c>
      <c r="K46" t="str">
        <f t="shared" si="2"/>
        <v>ΑΤΤΙΚΗΣ</v>
      </c>
      <c r="L46" t="str">
        <f t="shared" si="3"/>
        <v>ΗΛΙΟΥΠΟΛΕΩΣ</v>
      </c>
      <c r="M46" s="65" t="s">
        <v>417</v>
      </c>
      <c r="N46" t="str">
        <f t="shared" si="5"/>
        <v xml:space="preserve">ΑΤΤΙΚΗΣ - ΗΛΙΟΥΠΟΛΕΩΣ, </v>
      </c>
      <c r="O4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</v>
      </c>
    </row>
    <row r="47" spans="1:15" x14ac:dyDescent="0.3">
      <c r="A47" s="77">
        <v>46</v>
      </c>
      <c r="B47" t="s">
        <v>38</v>
      </c>
      <c r="C47" t="s">
        <v>366</v>
      </c>
      <c r="D47" t="s">
        <v>77</v>
      </c>
      <c r="G47" t="str">
        <f>LOOKUP(B47,ΠΕΡΙΦΕΡΕΙΑ!$A$2:$A$14,ΠΕΡΙΦΕΡΕΙΑ!$B$2:$B$14)</f>
        <v>Μερική</v>
      </c>
      <c r="H47">
        <f t="shared" si="0"/>
        <v>46</v>
      </c>
      <c r="I47">
        <f t="shared" si="1"/>
        <v>46</v>
      </c>
      <c r="J47" t="str">
        <f t="shared" si="4"/>
        <v>ΗΡΑΚΛΕΙΟΥ - ΑΤΤΙΚΗΣ</v>
      </c>
      <c r="K47" t="str">
        <f t="shared" si="2"/>
        <v>ΑΤΤΙΚΗΣ</v>
      </c>
      <c r="L47" t="str">
        <f t="shared" si="3"/>
        <v>ΗΡΑΚΛΕΙΟΥ</v>
      </c>
      <c r="M47" s="65" t="s">
        <v>417</v>
      </c>
      <c r="N47" t="str">
        <f t="shared" si="5"/>
        <v xml:space="preserve">ΑΤΤΙΚΗΣ - ΗΡΑΚΛΕΙΟΥ, </v>
      </c>
      <c r="O4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</v>
      </c>
    </row>
    <row r="48" spans="1:15" x14ac:dyDescent="0.3">
      <c r="A48" s="77">
        <v>47</v>
      </c>
      <c r="B48" t="s">
        <v>38</v>
      </c>
      <c r="C48" t="s">
        <v>368</v>
      </c>
      <c r="D48" t="s">
        <v>94</v>
      </c>
      <c r="E48" t="s">
        <v>586</v>
      </c>
      <c r="F48">
        <v>14150</v>
      </c>
      <c r="G48" t="str">
        <f>LOOKUP(B48,ΠΕΡΙΦΕΡΕΙΑ!$A$2:$A$14,ΠΕΡΙΦΕΡΕΙΑ!$B$2:$B$14)</f>
        <v>Μερική</v>
      </c>
      <c r="H48">
        <f t="shared" si="0"/>
        <v>47</v>
      </c>
      <c r="I48">
        <f t="shared" si="1"/>
        <v>47</v>
      </c>
      <c r="J48" t="str">
        <f t="shared" si="4"/>
        <v>ΙΛΙΟΥ - ΑΤΤΙΚΗΣ</v>
      </c>
      <c r="K48" t="str">
        <f t="shared" si="2"/>
        <v>ΑΤΤΙΚΗΣ</v>
      </c>
      <c r="L48" t="str">
        <f t="shared" si="3"/>
        <v>ΙΛΙΟΥ</v>
      </c>
      <c r="M48" s="65" t="s">
        <v>417</v>
      </c>
      <c r="N48" t="str">
        <f t="shared" si="5"/>
        <v xml:space="preserve">ΑΤΤΙΚΗΣ - ΙΛΙΟΥ, </v>
      </c>
      <c r="O4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</v>
      </c>
    </row>
    <row r="49" spans="1:15" x14ac:dyDescent="0.3">
      <c r="A49" s="77">
        <v>48</v>
      </c>
      <c r="B49" t="s">
        <v>38</v>
      </c>
      <c r="C49" t="s">
        <v>369</v>
      </c>
      <c r="D49" t="s">
        <v>104</v>
      </c>
      <c r="E49" t="s">
        <v>587</v>
      </c>
      <c r="F49">
        <v>14158</v>
      </c>
      <c r="G49" t="str">
        <f>LOOKUP(B49,ΠΕΡΙΦΕΡΕΙΑ!$A$2:$A$14,ΠΕΡΙΦΕΡΕΙΑ!$B$2:$B$14)</f>
        <v>Μερική</v>
      </c>
      <c r="H49">
        <f t="shared" si="0"/>
        <v>48</v>
      </c>
      <c r="I49">
        <f t="shared" si="1"/>
        <v>48</v>
      </c>
      <c r="J49" t="str">
        <f t="shared" si="4"/>
        <v>ΚΑΙΣΑΡΙΑΝΗΣ - ΑΤΤΙΚΗΣ</v>
      </c>
      <c r="K49" t="str">
        <f t="shared" si="2"/>
        <v>ΑΤΤΙΚΗΣ</v>
      </c>
      <c r="L49" t="str">
        <f t="shared" si="3"/>
        <v>ΚΑΙΣΑΡΙΑΝΗΣ</v>
      </c>
      <c r="M49" s="65" t="s">
        <v>417</v>
      </c>
      <c r="N49" t="str">
        <f t="shared" si="5"/>
        <v xml:space="preserve">ΑΤΤΙΚΗΣ - ΚΑΙΣΑΡΙΑΝΗΣ, </v>
      </c>
      <c r="O4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</v>
      </c>
    </row>
    <row r="50" spans="1:15" x14ac:dyDescent="0.3">
      <c r="A50" s="77">
        <v>49</v>
      </c>
      <c r="B50" t="s">
        <v>38</v>
      </c>
      <c r="C50" t="s">
        <v>371</v>
      </c>
      <c r="D50" t="s">
        <v>118</v>
      </c>
      <c r="E50" t="s">
        <v>588</v>
      </c>
      <c r="F50">
        <v>14180</v>
      </c>
      <c r="G50" t="str">
        <f>LOOKUP(B50,ΠΕΡΙΦΕΡΕΙΑ!$A$2:$A$14,ΠΕΡΙΦΕΡΕΙΑ!$B$2:$B$14)</f>
        <v>Μερική</v>
      </c>
      <c r="H50">
        <f t="shared" si="0"/>
        <v>49</v>
      </c>
      <c r="I50">
        <f t="shared" si="1"/>
        <v>49</v>
      </c>
      <c r="J50" t="str">
        <f t="shared" si="4"/>
        <v>ΚΑΛΛΙΘΕΑΣ - ΑΤΤΙΚΗΣ</v>
      </c>
      <c r="K50" t="str">
        <f t="shared" si="2"/>
        <v>ΑΤΤΙΚΗΣ</v>
      </c>
      <c r="L50" t="str">
        <f t="shared" si="3"/>
        <v>ΚΑΛΛΙΘΕΑΣ</v>
      </c>
      <c r="M50" s="65" t="s">
        <v>417</v>
      </c>
      <c r="N50" t="str">
        <f t="shared" si="5"/>
        <v xml:space="preserve">ΑΤΤΙΚΗΣ - ΚΑΛΛΙΘΕΑΣ, </v>
      </c>
      <c r="O5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</v>
      </c>
    </row>
    <row r="51" spans="1:15" x14ac:dyDescent="0.3">
      <c r="A51" s="77">
        <v>50</v>
      </c>
      <c r="B51" t="s">
        <v>38</v>
      </c>
      <c r="C51" t="s">
        <v>125</v>
      </c>
      <c r="D51" t="s">
        <v>122</v>
      </c>
      <c r="E51" t="s">
        <v>589</v>
      </c>
      <c r="F51">
        <v>14164</v>
      </c>
      <c r="G51" t="str">
        <f>LOOKUP(B51,ΠΕΡΙΦΕΡΕΙΑ!$A$2:$A$14,ΠΕΡΙΦΕΡΕΙΑ!$B$2:$B$14)</f>
        <v>Μερική</v>
      </c>
      <c r="H51">
        <f t="shared" si="0"/>
        <v>50</v>
      </c>
      <c r="I51">
        <f t="shared" si="1"/>
        <v>50</v>
      </c>
      <c r="J51" t="str">
        <f t="shared" si="4"/>
        <v>ΚΕΡΑΤΣΙΝΙΟΥ – ΔΡΑΠΕΤΣΩΝΑΣ - ΑΤΤΙΚΗΣ</v>
      </c>
      <c r="K51" t="str">
        <f t="shared" si="2"/>
        <v>ΑΤΤΙΚΗΣ</v>
      </c>
      <c r="L51" t="str">
        <f t="shared" si="3"/>
        <v>ΚΕΡΑΤΣΙΝΙΟΥ – ΔΡΑΠΕΤΣΩΝΑΣ</v>
      </c>
      <c r="M51" s="65" t="s">
        <v>417</v>
      </c>
      <c r="N51" t="str">
        <f t="shared" si="5"/>
        <v xml:space="preserve">ΑΤΤΙΚΗΣ - ΚΕΡΑΤΣΙΝΙΟΥ – ΔΡΑΠΕΤΣΩΝΑΣ, </v>
      </c>
      <c r="O5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</v>
      </c>
    </row>
    <row r="52" spans="1:15" x14ac:dyDescent="0.3">
      <c r="A52" s="77">
        <v>51</v>
      </c>
      <c r="B52" t="s">
        <v>38</v>
      </c>
      <c r="C52" t="s">
        <v>366</v>
      </c>
      <c r="D52" t="s">
        <v>78</v>
      </c>
      <c r="E52" t="s">
        <v>590</v>
      </c>
      <c r="F52">
        <v>14166</v>
      </c>
      <c r="G52" t="str">
        <f>LOOKUP(B52,ΠΕΡΙΦΕΡΕΙΑ!$A$2:$A$14,ΠΕΡΙΦΕΡΕΙΑ!$B$2:$B$14)</f>
        <v>Μερική</v>
      </c>
      <c r="H52">
        <f t="shared" si="0"/>
        <v>51</v>
      </c>
      <c r="I52">
        <f t="shared" si="1"/>
        <v>51</v>
      </c>
      <c r="J52" t="str">
        <f t="shared" si="4"/>
        <v>ΚΗΦΙΣΙΑΣ - ΑΤΤΙΚΗΣ</v>
      </c>
      <c r="K52" t="str">
        <f t="shared" si="2"/>
        <v>ΑΤΤΙΚΗΣ</v>
      </c>
      <c r="L52" t="str">
        <f t="shared" si="3"/>
        <v>ΚΗΦΙΣΙΑΣ</v>
      </c>
      <c r="M52" s="65" t="s">
        <v>417</v>
      </c>
      <c r="N52" t="str">
        <f t="shared" si="5"/>
        <v xml:space="preserve">ΑΤΤΙΚΗΣ - ΚΗΦΙΣΙΑΣ, </v>
      </c>
      <c r="O5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</v>
      </c>
    </row>
    <row r="53" spans="1:15" x14ac:dyDescent="0.3">
      <c r="A53" s="77">
        <v>52</v>
      </c>
      <c r="B53" t="s">
        <v>38</v>
      </c>
      <c r="C53" t="s">
        <v>125</v>
      </c>
      <c r="D53" t="s">
        <v>123</v>
      </c>
      <c r="E53" t="s">
        <v>591</v>
      </c>
      <c r="F53">
        <v>14226</v>
      </c>
      <c r="G53" t="str">
        <f>LOOKUP(B53,ΠΕΡΙΦΕΡΕΙΑ!$A$2:$A$14,ΠΕΡΙΦΕΡΕΙΑ!$B$2:$B$14)</f>
        <v>Μερική</v>
      </c>
      <c r="H53">
        <f t="shared" si="0"/>
        <v>52</v>
      </c>
      <c r="I53">
        <f t="shared" si="1"/>
        <v>52</v>
      </c>
      <c r="J53" t="str">
        <f t="shared" si="4"/>
        <v>ΚΟΡΥΔΑΛΛΟΥ - ΑΤΤΙΚΗΣ</v>
      </c>
      <c r="K53" t="str">
        <f t="shared" si="2"/>
        <v>ΑΤΤΙΚΗΣ</v>
      </c>
      <c r="L53" t="str">
        <f t="shared" si="3"/>
        <v>ΚΟΡΥΔΑΛΛΟΥ</v>
      </c>
      <c r="M53" s="65" t="s">
        <v>417</v>
      </c>
      <c r="N53" t="str">
        <f t="shared" si="5"/>
        <v xml:space="preserve">ΑΤΤΙΚΗΣ - ΚΟΡΥΔΑΛΛΟΥ, </v>
      </c>
      <c r="O5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</v>
      </c>
    </row>
    <row r="54" spans="1:15" x14ac:dyDescent="0.3">
      <c r="A54" s="77">
        <v>53</v>
      </c>
      <c r="B54" t="s">
        <v>38</v>
      </c>
      <c r="C54" t="s">
        <v>365</v>
      </c>
      <c r="D54" t="s">
        <v>64</v>
      </c>
      <c r="E54" t="s">
        <v>592</v>
      </c>
      <c r="F54">
        <v>14228</v>
      </c>
      <c r="G54" t="str">
        <f>LOOKUP(B54,ΠΕΡΙΦΕΡΕΙΑ!$A$2:$A$14,ΠΕΡΙΦΕΡΕΙΑ!$B$2:$B$14)</f>
        <v>Μερική</v>
      </c>
      <c r="H54">
        <f t="shared" si="0"/>
        <v>53</v>
      </c>
      <c r="I54">
        <f t="shared" si="1"/>
        <v>53</v>
      </c>
      <c r="J54" t="str">
        <f t="shared" si="4"/>
        <v>ΚΡΩΠΙΑΣ - ΑΤΤΙΚΗΣ</v>
      </c>
      <c r="K54" t="str">
        <f t="shared" si="2"/>
        <v>ΑΤΤΙΚΗΣ</v>
      </c>
      <c r="L54" t="str">
        <f t="shared" si="3"/>
        <v>ΚΡΩΠΙΑΣ</v>
      </c>
      <c r="M54" s="65" t="s">
        <v>417</v>
      </c>
      <c r="N54" t="str">
        <f t="shared" si="5"/>
        <v xml:space="preserve">ΑΤΤΙΚΗΣ - ΚΡΩΠΙΑΣ, </v>
      </c>
      <c r="O5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5" spans="1:15" x14ac:dyDescent="0.3">
      <c r="A55" s="77">
        <v>54</v>
      </c>
      <c r="B55" t="s">
        <v>38</v>
      </c>
      <c r="C55" t="s">
        <v>370</v>
      </c>
      <c r="D55" t="s">
        <v>108</v>
      </c>
      <c r="E55" t="s">
        <v>593</v>
      </c>
      <c r="F55">
        <v>14230</v>
      </c>
      <c r="G55" t="str">
        <f>LOOKUP(B55,ΠΕΡΙΦΕΡΕΙΑ!$A$2:$A$14,ΠΕΡΙΦΕΡΕΙΑ!$B$2:$B$14)</f>
        <v>Μερική</v>
      </c>
      <c r="H55">
        <f t="shared" si="0"/>
        <v>54</v>
      </c>
      <c r="I55">
        <f t="shared" si="1"/>
        <v>54</v>
      </c>
      <c r="J55" t="str">
        <f t="shared" si="4"/>
        <v>ΚΥΘΗΡΩΝ - ΑΤΤΙΚΗΣ</v>
      </c>
      <c r="K55" t="str">
        <f t="shared" si="2"/>
        <v>ΑΤΤΙΚΗΣ</v>
      </c>
      <c r="L55" t="str">
        <f t="shared" si="3"/>
        <v>ΚΥΘΗΡΩΝ</v>
      </c>
      <c r="M55" s="65" t="s">
        <v>418</v>
      </c>
      <c r="N55" t="str">
        <f t="shared" si="5"/>
        <v/>
      </c>
      <c r="O5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6" spans="1:15" x14ac:dyDescent="0.3">
      <c r="A56" s="77">
        <v>55</v>
      </c>
      <c r="B56" t="s">
        <v>38</v>
      </c>
      <c r="C56" t="s">
        <v>365</v>
      </c>
      <c r="D56" t="s">
        <v>65</v>
      </c>
      <c r="E56" t="s">
        <v>594</v>
      </c>
      <c r="F56">
        <v>14248</v>
      </c>
      <c r="G56" t="str">
        <f>LOOKUP(B56,ΠΕΡΙΦΕΡΕΙΑ!$A$2:$A$14,ΠΕΡΙΦΕΡΕΙΑ!$B$2:$B$14)</f>
        <v>Μερική</v>
      </c>
      <c r="H56">
        <f t="shared" si="0"/>
        <v>55</v>
      </c>
      <c r="I56">
        <f t="shared" si="1"/>
        <v>55</v>
      </c>
      <c r="J56" t="str">
        <f t="shared" si="4"/>
        <v>ΛΑΥΡΕΩΤΙΚΗΣ - ΑΤΤΙΚΗΣ</v>
      </c>
      <c r="K56" t="str">
        <f t="shared" si="2"/>
        <v>ΑΤΤΙΚΗΣ</v>
      </c>
      <c r="L56" t="str">
        <f t="shared" si="3"/>
        <v>ΛΑΥΡΕΩΤΙΚΗΣ</v>
      </c>
      <c r="M56" s="65" t="s">
        <v>417</v>
      </c>
      <c r="N56" t="str">
        <f t="shared" si="5"/>
        <v xml:space="preserve">ΑΤΤΙΚΗΣ - ΛΑΥΡΕΩΤΙΚΗΣ, </v>
      </c>
      <c r="O5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</v>
      </c>
    </row>
    <row r="57" spans="1:15" x14ac:dyDescent="0.3">
      <c r="A57" s="77">
        <v>56</v>
      </c>
      <c r="B57" t="s">
        <v>38</v>
      </c>
      <c r="C57" t="s">
        <v>366</v>
      </c>
      <c r="D57" t="s">
        <v>79</v>
      </c>
      <c r="E57" t="s">
        <v>595</v>
      </c>
      <c r="F57">
        <v>14260</v>
      </c>
      <c r="G57" t="str">
        <f>LOOKUP(B57,ΠΕΡΙΦΕΡΕΙΑ!$A$2:$A$14,ΠΕΡΙΦΕΡΕΙΑ!$B$2:$B$14)</f>
        <v>Μερική</v>
      </c>
      <c r="H57">
        <f t="shared" si="0"/>
        <v>56</v>
      </c>
      <c r="I57">
        <f t="shared" si="1"/>
        <v>56</v>
      </c>
      <c r="J57" t="str">
        <f t="shared" si="4"/>
        <v>ΛΥΚΟΒΡΥΣΗΣ – ΠΕΥΚΗΣ - ΑΤΤΙΚΗΣ</v>
      </c>
      <c r="K57" t="str">
        <f t="shared" si="2"/>
        <v>ΑΤΤΙΚΗΣ</v>
      </c>
      <c r="L57" t="str">
        <f t="shared" si="3"/>
        <v>ΛΥΚΟΒΡΥΣΗΣ – ΠΕΥΚΗΣ</v>
      </c>
      <c r="M57" s="65" t="s">
        <v>417</v>
      </c>
      <c r="N57" t="str">
        <f t="shared" si="5"/>
        <v xml:space="preserve">ΑΤΤΙΚΗΣ - ΛΥΚΟΒΡΥΣΗΣ – ΠΕΥΚΗΣ, </v>
      </c>
      <c r="O5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</v>
      </c>
    </row>
    <row r="58" spans="1:15" x14ac:dyDescent="0.3">
      <c r="A58" s="77">
        <v>57</v>
      </c>
      <c r="B58" t="s">
        <v>38</v>
      </c>
      <c r="C58" t="s">
        <v>367</v>
      </c>
      <c r="D58" t="s">
        <v>88</v>
      </c>
      <c r="E58" t="s">
        <v>596</v>
      </c>
      <c r="F58">
        <v>14274</v>
      </c>
      <c r="G58" t="str">
        <f>LOOKUP(B58,ΠΕΡΙΦΕΡΕΙΑ!$A$2:$A$14,ΠΕΡΙΦΕΡΕΙΑ!$B$2:$B$14)</f>
        <v>Μερική</v>
      </c>
      <c r="H58">
        <f t="shared" si="0"/>
        <v>57</v>
      </c>
      <c r="I58">
        <f t="shared" si="1"/>
        <v>57</v>
      </c>
      <c r="J58" t="str">
        <f t="shared" si="4"/>
        <v>ΜΑΝΔΡΑΣ – ΕΙΔΥΛΛΙΑΣ - ΑΤΤΙΚΗΣ</v>
      </c>
      <c r="K58" t="str">
        <f t="shared" si="2"/>
        <v>ΑΤΤΙΚΗΣ</v>
      </c>
      <c r="L58" t="str">
        <f t="shared" si="3"/>
        <v>ΜΑΝΔΡΑΣ – ΕΙΔΥΛΛΙΑΣ</v>
      </c>
      <c r="M58" s="65" t="s">
        <v>417</v>
      </c>
      <c r="N58" t="str">
        <f t="shared" si="5"/>
        <v xml:space="preserve">ΑΤΤΙΚΗΣ - ΜΑΝΔΡΑΣ – ΕΙΔΥΛΛΙΑΣ, </v>
      </c>
      <c r="O5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</v>
      </c>
    </row>
    <row r="59" spans="1:15" x14ac:dyDescent="0.3">
      <c r="A59" s="77">
        <v>58</v>
      </c>
      <c r="B59" t="s">
        <v>38</v>
      </c>
      <c r="C59" t="s">
        <v>365</v>
      </c>
      <c r="D59" t="s">
        <v>66</v>
      </c>
      <c r="E59" t="s">
        <v>597</v>
      </c>
      <c r="F59">
        <v>14266</v>
      </c>
      <c r="G59" t="str">
        <f>LOOKUP(B59,ΠΕΡΙΦΕΡΕΙΑ!$A$2:$A$14,ΠΕΡΙΦΕΡΕΙΑ!$B$2:$B$14)</f>
        <v>Μερική</v>
      </c>
      <c r="H59">
        <f t="shared" si="0"/>
        <v>58</v>
      </c>
      <c r="I59">
        <f t="shared" si="1"/>
        <v>58</v>
      </c>
      <c r="J59" t="str">
        <f t="shared" si="4"/>
        <v>ΜΑΡΑΘΩΝΟΣ - ΑΤΤΙΚΗΣ</v>
      </c>
      <c r="K59" t="str">
        <f t="shared" si="2"/>
        <v>ΑΤΤΙΚΗΣ</v>
      </c>
      <c r="L59" t="str">
        <f t="shared" si="3"/>
        <v>ΜΑΡΑΘΩΝΟΣ</v>
      </c>
      <c r="M59" s="65" t="s">
        <v>417</v>
      </c>
      <c r="N59" t="str">
        <f t="shared" si="5"/>
        <v xml:space="preserve">ΑΤΤΙΚΗΣ - ΜΑΡΑΘΩΝΟΣ, </v>
      </c>
      <c r="O5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</v>
      </c>
    </row>
    <row r="60" spans="1:15" x14ac:dyDescent="0.3">
      <c r="A60" s="77">
        <v>59</v>
      </c>
      <c r="B60" t="s">
        <v>38</v>
      </c>
      <c r="C60" t="s">
        <v>365</v>
      </c>
      <c r="D60" t="s">
        <v>67</v>
      </c>
      <c r="E60" t="s">
        <v>598</v>
      </c>
      <c r="F60">
        <v>14278</v>
      </c>
      <c r="G60" t="str">
        <f>LOOKUP(B60,ΠΕΡΙΦΕΡΕΙΑ!$A$2:$A$14,ΠΕΡΙΦΕΡΕΙΑ!$B$2:$B$14)</f>
        <v>Μερική</v>
      </c>
      <c r="H60">
        <f t="shared" si="0"/>
        <v>59</v>
      </c>
      <c r="I60">
        <f t="shared" si="1"/>
        <v>59</v>
      </c>
      <c r="J60" t="str">
        <f t="shared" si="4"/>
        <v>ΜΑΡΚΟΠΟΥΛΟΥ ΜΕΣΟΓΑΙΑΣ - ΑΤΤΙΚΗΣ</v>
      </c>
      <c r="K60" t="str">
        <f t="shared" si="2"/>
        <v>ΑΤΤΙΚΗΣ</v>
      </c>
      <c r="L60" t="str">
        <f t="shared" si="3"/>
        <v>ΜΑΡΚΟΠΟΥΛΟΥ ΜΕΣΟΓΑΙΑΣ</v>
      </c>
      <c r="M60" s="65" t="s">
        <v>417</v>
      </c>
      <c r="N60" t="str">
        <f t="shared" si="5"/>
        <v xml:space="preserve">ΑΤΤΙΚΗΣ - ΜΑΡΚΟΠΟΥΛΟΥ ΜΕΣΟΓΑΙΑΣ, </v>
      </c>
      <c r="O6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</v>
      </c>
    </row>
    <row r="61" spans="1:15" x14ac:dyDescent="0.3">
      <c r="A61" s="77">
        <v>60</v>
      </c>
      <c r="B61" t="s">
        <v>38</v>
      </c>
      <c r="C61" t="s">
        <v>367</v>
      </c>
      <c r="D61" t="s">
        <v>89</v>
      </c>
      <c r="E61" t="s">
        <v>599</v>
      </c>
      <c r="F61">
        <v>14288</v>
      </c>
      <c r="G61" t="str">
        <f>LOOKUP(B61,ΠΕΡΙΦΕΡΕΙΑ!$A$2:$A$14,ΠΕΡΙΦΕΡΕΙΑ!$B$2:$B$14)</f>
        <v>Μερική</v>
      </c>
      <c r="H61">
        <f t="shared" si="0"/>
        <v>60</v>
      </c>
      <c r="I61">
        <f t="shared" si="1"/>
        <v>60</v>
      </c>
      <c r="J61" t="str">
        <f t="shared" si="4"/>
        <v>ΜΕΓΑΡΕΩΝ - ΑΤΤΙΚΗΣ</v>
      </c>
      <c r="K61" t="str">
        <f t="shared" si="2"/>
        <v>ΑΤΤΙΚΗΣ</v>
      </c>
      <c r="L61" t="str">
        <f t="shared" si="3"/>
        <v>ΜΕΓΑΡΕΩΝ</v>
      </c>
      <c r="M61" s="65" t="s">
        <v>417</v>
      </c>
      <c r="N61" t="str">
        <f t="shared" si="5"/>
        <v xml:space="preserve">ΑΤΤΙΚΗΣ - ΜΕΓΑΡΕΩΝ, </v>
      </c>
      <c r="O6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</v>
      </c>
    </row>
    <row r="62" spans="1:15" x14ac:dyDescent="0.3">
      <c r="A62" s="77">
        <v>61</v>
      </c>
      <c r="B62" t="s">
        <v>38</v>
      </c>
      <c r="C62" t="s">
        <v>366</v>
      </c>
      <c r="D62" t="s">
        <v>80</v>
      </c>
      <c r="E62" t="s">
        <v>600</v>
      </c>
      <c r="F62">
        <v>14286</v>
      </c>
      <c r="G62" t="str">
        <f>LOOKUP(B62,ΠΕΡΙΦΕΡΕΙΑ!$A$2:$A$14,ΠΕΡΙΦΕΡΕΙΑ!$B$2:$B$14)</f>
        <v>Μερική</v>
      </c>
      <c r="H62">
        <f t="shared" si="0"/>
        <v>61</v>
      </c>
      <c r="I62">
        <f t="shared" si="1"/>
        <v>61</v>
      </c>
      <c r="J62" t="str">
        <f t="shared" si="4"/>
        <v>ΜΕΤΑΜΟΡΦΩΣΕΩΣ - ΑΤΤΙΚΗΣ</v>
      </c>
      <c r="K62" t="str">
        <f t="shared" si="2"/>
        <v>ΑΤΤΙΚΗΣ</v>
      </c>
      <c r="L62" t="str">
        <f t="shared" si="3"/>
        <v>ΜΕΤΑΜΟΡΦΩΣΕΩΣ</v>
      </c>
      <c r="M62" s="65" t="s">
        <v>417</v>
      </c>
      <c r="N62" t="str">
        <f t="shared" si="5"/>
        <v xml:space="preserve">ΑΤΤΙΚΗΣ - ΜΕΤΑΜΟΡΦΩΣΕΩΣ, </v>
      </c>
      <c r="O6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</v>
      </c>
    </row>
    <row r="63" spans="1:15" x14ac:dyDescent="0.3">
      <c r="A63" s="77">
        <v>62</v>
      </c>
      <c r="B63" t="s">
        <v>38</v>
      </c>
      <c r="C63" t="s">
        <v>371</v>
      </c>
      <c r="D63" t="s">
        <v>119</v>
      </c>
      <c r="E63" t="s">
        <v>601</v>
      </c>
      <c r="F63">
        <v>14300</v>
      </c>
      <c r="G63" t="str">
        <f>LOOKUP(B63,ΠΕΡΙΦΕΡΕΙΑ!$A$2:$A$14,ΠΕΡΙΦΕΡΕΙΑ!$B$2:$B$14)</f>
        <v>Μερική</v>
      </c>
      <c r="H63">
        <f t="shared" si="0"/>
        <v>62</v>
      </c>
      <c r="I63">
        <f t="shared" si="1"/>
        <v>62</v>
      </c>
      <c r="J63" t="str">
        <f t="shared" si="4"/>
        <v>ΜΟΣΧΑΤΟΥ – ΤΑΥΡΟΥ - ΑΤΤΙΚΗΣ</v>
      </c>
      <c r="K63" t="str">
        <f t="shared" si="2"/>
        <v>ΑΤΤΙΚΗΣ</v>
      </c>
      <c r="L63" t="str">
        <f t="shared" si="3"/>
        <v>ΜΟΣΧΑΤΟΥ – ΤΑΥΡΟΥ</v>
      </c>
      <c r="M63" s="65" t="s">
        <v>417</v>
      </c>
      <c r="N63" t="str">
        <f t="shared" si="5"/>
        <v xml:space="preserve">ΑΤΤΙΚΗΣ - ΜΟΣΧΑΤΟΥ – ΤΑΥΡΟΥ, </v>
      </c>
      <c r="O6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</v>
      </c>
    </row>
    <row r="64" spans="1:15" x14ac:dyDescent="0.3">
      <c r="A64" s="77">
        <v>63</v>
      </c>
      <c r="B64" t="s">
        <v>38</v>
      </c>
      <c r="C64" t="s">
        <v>366</v>
      </c>
      <c r="D64" t="s">
        <v>81</v>
      </c>
      <c r="E64" t="s">
        <v>602</v>
      </c>
      <c r="F64">
        <v>14316</v>
      </c>
      <c r="G64" t="str">
        <f>LOOKUP(B64,ΠΕΡΙΦΕΡΕΙΑ!$A$2:$A$14,ΠΕΡΙΦΕΡΕΙΑ!$B$2:$B$14)</f>
        <v>Μερική</v>
      </c>
      <c r="H64">
        <f t="shared" si="0"/>
        <v>63</v>
      </c>
      <c r="I64">
        <f t="shared" si="1"/>
        <v>63</v>
      </c>
      <c r="J64" t="str">
        <f t="shared" si="4"/>
        <v>ΝΕΑΣ ΙΩΝΙΑΣ - ΑΤΤΙΚΗΣ</v>
      </c>
      <c r="K64" t="str">
        <f t="shared" si="2"/>
        <v>ΑΤΤΙΚΗΣ</v>
      </c>
      <c r="L64" t="str">
        <f t="shared" si="3"/>
        <v>ΝΕΑΣ ΙΩΝΙΑΣ</v>
      </c>
      <c r="M64" s="65" t="s">
        <v>417</v>
      </c>
      <c r="N64" t="str">
        <f t="shared" si="5"/>
        <v xml:space="preserve">ΑΤΤΙΚΗΣ - ΝΕΑΣ ΙΩΝΙΑΣ, </v>
      </c>
      <c r="O6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</v>
      </c>
    </row>
    <row r="65" spans="1:15" x14ac:dyDescent="0.3">
      <c r="A65" s="77">
        <v>64</v>
      </c>
      <c r="B65" t="s">
        <v>38</v>
      </c>
      <c r="C65" t="s">
        <v>371</v>
      </c>
      <c r="D65" t="s">
        <v>120</v>
      </c>
      <c r="E65" t="s">
        <v>603</v>
      </c>
      <c r="F65">
        <v>14320</v>
      </c>
      <c r="G65" t="str">
        <f>LOOKUP(B65,ΠΕΡΙΦΕΡΕΙΑ!$A$2:$A$14,ΠΕΡΙΦΕΡΕΙΑ!$B$2:$B$14)</f>
        <v>Μερική</v>
      </c>
      <c r="H65">
        <f t="shared" si="0"/>
        <v>64</v>
      </c>
      <c r="I65">
        <f t="shared" si="1"/>
        <v>64</v>
      </c>
      <c r="J65" t="str">
        <f t="shared" si="4"/>
        <v>ΝΕΑΣ ΣΜΥΡΝΗΣ - ΑΤΤΙΚΗΣ</v>
      </c>
      <c r="K65" t="str">
        <f t="shared" si="2"/>
        <v>ΑΤΤΙΚΗΣ</v>
      </c>
      <c r="L65" t="str">
        <f t="shared" si="3"/>
        <v>ΝΕΑΣ ΣΜΥΡΝΗΣ</v>
      </c>
      <c r="M65" s="65" t="s">
        <v>417</v>
      </c>
      <c r="N65" t="str">
        <f t="shared" si="5"/>
        <v xml:space="preserve">ΑΤΤΙΚΗΣ - ΝΕΑΣ ΣΜΥΡΝΗΣ, </v>
      </c>
      <c r="O6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</v>
      </c>
    </row>
    <row r="66" spans="1:15" x14ac:dyDescent="0.3">
      <c r="A66" s="77">
        <v>65</v>
      </c>
      <c r="B66" t="s">
        <v>38</v>
      </c>
      <c r="C66" t="s">
        <v>125</v>
      </c>
      <c r="D66" t="s">
        <v>124</v>
      </c>
      <c r="E66" t="s">
        <v>604</v>
      </c>
      <c r="F66">
        <v>14338</v>
      </c>
      <c r="G66" t="str">
        <f>LOOKUP(B66,ΠΕΡΙΦΕΡΕΙΑ!$A$2:$A$14,ΠΕΡΙΦΕΡΕΙΑ!$B$2:$B$14)</f>
        <v>Μερική</v>
      </c>
      <c r="H66">
        <f t="shared" ref="H66:H129" si="7">IF(G66="Μερική",A66,"")</f>
        <v>65</v>
      </c>
      <c r="I66">
        <f t="shared" ref="I66:I129" si="8">SMALL(H:H,A66)</f>
        <v>65</v>
      </c>
      <c r="J66" t="str">
        <f t="shared" si="4"/>
        <v>ΝΙΚΑΙΑΣ – ΑΓΙΟΥ ΙΩΑΝΝΗ ΡΕΝΤΗ - ΑΤΤΙΚΗΣ</v>
      </c>
      <c r="K66" t="str">
        <f t="shared" ref="K66:K129" si="9">IF(ISNUMBER(I66),LOOKUP(I66,A:A,B:B),"")</f>
        <v>ΑΤΤΙΚΗΣ</v>
      </c>
      <c r="L66" t="str">
        <f t="shared" ref="L66:L129" si="10">IF(ISNUMBER(I66),LOOKUP(I66,A:A,D:D),"")</f>
        <v>ΝΙΚΑΙΑΣ – ΑΓΙΟΥ ΙΩΑΝΝΗ ΡΕΝΤΗ</v>
      </c>
      <c r="M66" s="65" t="s">
        <v>417</v>
      </c>
      <c r="N66" t="str">
        <f t="shared" si="5"/>
        <v xml:space="preserve">ΑΤΤΙΚΗΣ - ΝΙΚΑΙΑΣ – ΑΓΙΟΥ ΙΩΑΝΝΗ ΡΕΝΤΗ, </v>
      </c>
      <c r="O6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</v>
      </c>
    </row>
    <row r="67" spans="1:15" x14ac:dyDescent="0.3">
      <c r="A67" s="77">
        <v>66</v>
      </c>
      <c r="B67" t="s">
        <v>38</v>
      </c>
      <c r="C67" t="s">
        <v>365</v>
      </c>
      <c r="D67" t="s">
        <v>68</v>
      </c>
      <c r="E67" t="s">
        <v>605</v>
      </c>
      <c r="F67">
        <v>14362</v>
      </c>
      <c r="G67" t="str">
        <f>LOOKUP(B67,ΠΕΡΙΦΕΡΕΙΑ!$A$2:$A$14,ΠΕΡΙΦΕΡΕΙΑ!$B$2:$B$14)</f>
        <v>Μερική</v>
      </c>
      <c r="H67">
        <f t="shared" si="7"/>
        <v>66</v>
      </c>
      <c r="I67">
        <f t="shared" si="8"/>
        <v>66</v>
      </c>
      <c r="J67" t="str">
        <f t="shared" ref="J67:J130" si="11">CONCATENATE(L67," - ",K67)</f>
        <v>ΠΑΙΑΝΙΑΣ - ΑΤΤΙΚΗΣ</v>
      </c>
      <c r="K67" t="str">
        <f t="shared" si="9"/>
        <v>ΑΤΤΙΚΗΣ</v>
      </c>
      <c r="L67" t="str">
        <f t="shared" si="10"/>
        <v>ΠΑΙΑΝΙΑΣ</v>
      </c>
      <c r="M67" s="65" t="s">
        <v>417</v>
      </c>
      <c r="N67" t="str">
        <f t="shared" ref="N67:N130" si="12">IF(L67&lt;&gt;"",IF(M67="ΝΑΙ",K67&amp;" - "&amp;L67&amp;", ",""),"")</f>
        <v xml:space="preserve">ΑΤΤΙΚΗΣ - ΠΑΙΑΝΙΑΣ, </v>
      </c>
      <c r="O6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</v>
      </c>
    </row>
    <row r="68" spans="1:15" x14ac:dyDescent="0.3">
      <c r="A68" s="77">
        <v>67</v>
      </c>
      <c r="B68" t="s">
        <v>38</v>
      </c>
      <c r="C68" t="s">
        <v>371</v>
      </c>
      <c r="D68" t="s">
        <v>121</v>
      </c>
      <c r="E68" t="s">
        <v>606</v>
      </c>
      <c r="F68">
        <v>14386</v>
      </c>
      <c r="G68" t="str">
        <f>LOOKUP(B68,ΠΕΡΙΦΕΡΕΙΑ!$A$2:$A$14,ΠΕΡΙΦΕΡΕΙΑ!$B$2:$B$14)</f>
        <v>Μερική</v>
      </c>
      <c r="H68">
        <f t="shared" si="7"/>
        <v>67</v>
      </c>
      <c r="I68">
        <f t="shared" si="8"/>
        <v>67</v>
      </c>
      <c r="J68" t="str">
        <f t="shared" si="11"/>
        <v>ΠΑΛΑΙΟΥ ΦΑΛΗΡΟΥ - ΑΤΤΙΚΗΣ</v>
      </c>
      <c r="K68" t="str">
        <f t="shared" si="9"/>
        <v>ΑΤΤΙΚΗΣ</v>
      </c>
      <c r="L68" t="str">
        <f t="shared" si="10"/>
        <v>ΠΑΛΑΙΟΥ ΦΑΛΗΡΟΥ</v>
      </c>
      <c r="M68" s="65" t="s">
        <v>417</v>
      </c>
      <c r="N68" t="str">
        <f t="shared" si="12"/>
        <v xml:space="preserve">ΑΤΤΙΚΗΣ - ΠΑΛΑΙΟΥ ΦΑΛΗΡΟΥ, </v>
      </c>
      <c r="O68" t="str">
        <f t="shared" ref="O68:O131" si="13">O67&amp;N68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</v>
      </c>
    </row>
    <row r="69" spans="1:15" x14ac:dyDescent="0.3">
      <c r="A69" s="77">
        <v>68</v>
      </c>
      <c r="B69" t="s">
        <v>38</v>
      </c>
      <c r="C69" t="s">
        <v>365</v>
      </c>
      <c r="D69" t="s">
        <v>69</v>
      </c>
      <c r="E69" t="s">
        <v>607</v>
      </c>
      <c r="F69">
        <v>14390</v>
      </c>
      <c r="G69" t="str">
        <f>LOOKUP(B69,ΠΕΡΙΦΕΡΕΙΑ!$A$2:$A$14,ΠΕΡΙΦΕΡΕΙΑ!$B$2:$B$14)</f>
        <v>Μερική</v>
      </c>
      <c r="H69">
        <f t="shared" si="7"/>
        <v>68</v>
      </c>
      <c r="I69">
        <f t="shared" si="8"/>
        <v>68</v>
      </c>
      <c r="J69" t="str">
        <f t="shared" si="11"/>
        <v>ΠΑΛΛΗΝΗΣ - ΑΤΤΙΚΗΣ</v>
      </c>
      <c r="K69" t="str">
        <f t="shared" si="9"/>
        <v>ΑΤΤΙΚΗΣ</v>
      </c>
      <c r="L69" t="str">
        <f t="shared" si="10"/>
        <v>ΠΑΛΛΗΝΗΣ</v>
      </c>
      <c r="M69" s="65" t="s">
        <v>417</v>
      </c>
      <c r="N69" t="str">
        <f t="shared" si="12"/>
        <v xml:space="preserve">ΑΤΤΙΚΗΣ - ΠΑΛΛΗΝΗΣ, </v>
      </c>
      <c r="O6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</v>
      </c>
    </row>
    <row r="70" spans="1:15" x14ac:dyDescent="0.3">
      <c r="A70" s="77">
        <v>69</v>
      </c>
      <c r="B70" t="s">
        <v>38</v>
      </c>
      <c r="C70" t="s">
        <v>366</v>
      </c>
      <c r="D70" t="s">
        <v>82</v>
      </c>
      <c r="E70" t="s">
        <v>608</v>
      </c>
      <c r="F70">
        <v>14394</v>
      </c>
      <c r="G70" t="str">
        <f>LOOKUP(B70,ΠΕΡΙΦΕΡΕΙΑ!$A$2:$A$14,ΠΕΡΙΦΕΡΕΙΑ!$B$2:$B$14)</f>
        <v>Μερική</v>
      </c>
      <c r="H70">
        <f t="shared" si="7"/>
        <v>69</v>
      </c>
      <c r="I70">
        <f t="shared" si="8"/>
        <v>69</v>
      </c>
      <c r="J70" t="str">
        <f t="shared" si="11"/>
        <v>ΠΑΠΑΓΟΥ – ΧΟΛΑΡΓΟΥ - ΑΤΤΙΚΗΣ</v>
      </c>
      <c r="K70" t="str">
        <f t="shared" si="9"/>
        <v>ΑΤΤΙΚΗΣ</v>
      </c>
      <c r="L70" t="str">
        <f t="shared" si="10"/>
        <v>ΠΑΠΑΓΟΥ – ΧΟΛΑΡΓΟΥ</v>
      </c>
      <c r="M70" s="65" t="s">
        <v>417</v>
      </c>
      <c r="N70" t="str">
        <f t="shared" si="12"/>
        <v xml:space="preserve">ΑΤΤΙΚΗΣ - ΠΑΠΑΓΟΥ – ΧΟΛΑΡΓΟΥ, </v>
      </c>
      <c r="O7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</v>
      </c>
    </row>
    <row r="71" spans="1:15" x14ac:dyDescent="0.3">
      <c r="A71" s="77">
        <v>70</v>
      </c>
      <c r="B71" t="s">
        <v>38</v>
      </c>
      <c r="C71" t="s">
        <v>125</v>
      </c>
      <c r="D71" t="s">
        <v>125</v>
      </c>
      <c r="E71" t="s">
        <v>609</v>
      </c>
      <c r="F71">
        <v>14402</v>
      </c>
      <c r="G71" t="str">
        <f>LOOKUP(B71,ΠΕΡΙΦΕΡΕΙΑ!$A$2:$A$14,ΠΕΡΙΦΕΡΕΙΑ!$B$2:$B$14)</f>
        <v>Μερική</v>
      </c>
      <c r="H71">
        <f t="shared" si="7"/>
        <v>70</v>
      </c>
      <c r="I71">
        <f t="shared" si="8"/>
        <v>70</v>
      </c>
      <c r="J71" t="str">
        <f t="shared" si="11"/>
        <v>ΠΕΙΡΑΙΩΣ - ΑΤΤΙΚΗΣ</v>
      </c>
      <c r="K71" t="str">
        <f t="shared" si="9"/>
        <v>ΑΤΤΙΚΗΣ</v>
      </c>
      <c r="L71" t="str">
        <f t="shared" si="10"/>
        <v>ΠΕΙΡΑΙΩΣ</v>
      </c>
      <c r="M71" s="65" t="s">
        <v>417</v>
      </c>
      <c r="N71" t="str">
        <f t="shared" si="12"/>
        <v xml:space="preserve">ΑΤΤΙΚΗΣ - ΠΕΙΡΑΙΩΣ, </v>
      </c>
      <c r="O7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</v>
      </c>
    </row>
    <row r="72" spans="1:15" x14ac:dyDescent="0.3">
      <c r="A72" s="77">
        <v>71</v>
      </c>
      <c r="B72" t="s">
        <v>38</v>
      </c>
      <c r="C72" t="s">
        <v>366</v>
      </c>
      <c r="D72" t="s">
        <v>83</v>
      </c>
      <c r="E72" t="s">
        <v>610</v>
      </c>
      <c r="F72">
        <v>14404</v>
      </c>
      <c r="G72" t="str">
        <f>LOOKUP(B72,ΠΕΡΙΦΕΡΕΙΑ!$A$2:$A$14,ΠΕΡΙΦΕΡΕΙΑ!$B$2:$B$14)</f>
        <v>Μερική</v>
      </c>
      <c r="H72">
        <f t="shared" si="7"/>
        <v>71</v>
      </c>
      <c r="I72">
        <f t="shared" si="8"/>
        <v>71</v>
      </c>
      <c r="J72" t="str">
        <f t="shared" si="11"/>
        <v>ΠΕΝΤΕΛΗΣ - ΑΤΤΙΚΗΣ</v>
      </c>
      <c r="K72" t="str">
        <f t="shared" si="9"/>
        <v>ΑΤΤΙΚΗΣ</v>
      </c>
      <c r="L72" t="str">
        <f t="shared" si="10"/>
        <v>ΠΕΝΤΕΛΗΣ</v>
      </c>
      <c r="M72" s="65" t="s">
        <v>417</v>
      </c>
      <c r="N72" t="str">
        <f t="shared" si="12"/>
        <v xml:space="preserve">ΑΤΤΙΚΗΣ - ΠΕΝΤΕΛΗΣ, </v>
      </c>
      <c r="O7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</v>
      </c>
    </row>
    <row r="73" spans="1:15" x14ac:dyDescent="0.3">
      <c r="A73" s="77">
        <v>72</v>
      </c>
      <c r="B73" t="s">
        <v>38</v>
      </c>
      <c r="C73" t="s">
        <v>125</v>
      </c>
      <c r="D73" t="s">
        <v>126</v>
      </c>
      <c r="E73" t="s">
        <v>611</v>
      </c>
      <c r="F73">
        <v>14370</v>
      </c>
      <c r="G73" t="str">
        <f>LOOKUP(B73,ΠΕΡΙΦΕΡΕΙΑ!$A$2:$A$14,ΠΕΡΙΦΕΡΕΙΑ!$B$2:$B$14)</f>
        <v>Μερική</v>
      </c>
      <c r="H73">
        <f t="shared" si="7"/>
        <v>72</v>
      </c>
      <c r="I73">
        <f t="shared" si="8"/>
        <v>72</v>
      </c>
      <c r="J73" t="str">
        <f t="shared" si="11"/>
        <v>ΠΕΡΑΜΑΤΟΣ - ΑΤΤΙΚΗΣ</v>
      </c>
      <c r="K73" t="str">
        <f t="shared" si="9"/>
        <v>ΑΤΤΙΚΗΣ</v>
      </c>
      <c r="L73" t="str">
        <f t="shared" si="10"/>
        <v>ΠΕΡΑΜΑΤΟΣ</v>
      </c>
      <c r="M73" s="65" t="s">
        <v>417</v>
      </c>
      <c r="N73" t="str">
        <f t="shared" si="12"/>
        <v xml:space="preserve">ΑΤΤΙΚΗΣ - ΠΕΡΑΜΑΤΟΣ, </v>
      </c>
      <c r="O7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</v>
      </c>
    </row>
    <row r="74" spans="1:15" x14ac:dyDescent="0.3">
      <c r="A74" s="77">
        <v>73</v>
      </c>
      <c r="B74" t="s">
        <v>38</v>
      </c>
      <c r="C74" t="s">
        <v>368</v>
      </c>
      <c r="D74" t="s">
        <v>95</v>
      </c>
      <c r="E74" t="s">
        <v>612</v>
      </c>
      <c r="F74">
        <v>14406</v>
      </c>
      <c r="G74" t="str">
        <f>LOOKUP(B74,ΠΕΡΙΦΕΡΕΙΑ!$A$2:$A$14,ΠΕΡΙΦΕΡΕΙΑ!$B$2:$B$14)</f>
        <v>Μερική</v>
      </c>
      <c r="H74">
        <f t="shared" si="7"/>
        <v>73</v>
      </c>
      <c r="I74">
        <f t="shared" si="8"/>
        <v>73</v>
      </c>
      <c r="J74" t="str">
        <f t="shared" si="11"/>
        <v>ΠΕΡΙΣΤΕΡΙΟΥ - ΑΤΤΙΚΗΣ</v>
      </c>
      <c r="K74" t="str">
        <f t="shared" si="9"/>
        <v>ΑΤΤΙΚΗΣ</v>
      </c>
      <c r="L74" t="str">
        <f t="shared" si="10"/>
        <v>ΠΕΡΙΣΤΕΡΙΟΥ</v>
      </c>
      <c r="M74" s="65" t="s">
        <v>417</v>
      </c>
      <c r="N74" t="str">
        <f t="shared" si="12"/>
        <v xml:space="preserve">ΑΤΤΙΚΗΣ - ΠΕΡΙΣΤΕΡΙΟΥ, </v>
      </c>
      <c r="O7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</v>
      </c>
    </row>
    <row r="75" spans="1:15" x14ac:dyDescent="0.3">
      <c r="A75" s="77">
        <v>74</v>
      </c>
      <c r="B75" t="s">
        <v>38</v>
      </c>
      <c r="C75" t="s">
        <v>368</v>
      </c>
      <c r="D75" t="s">
        <v>96</v>
      </c>
      <c r="E75" t="s">
        <v>613</v>
      </c>
      <c r="F75">
        <v>14408</v>
      </c>
      <c r="G75" t="str">
        <f>LOOKUP(B75,ΠΕΡΙΦΕΡΕΙΑ!$A$2:$A$14,ΠΕΡΙΦΕΡΕΙΑ!$B$2:$B$14)</f>
        <v>Μερική</v>
      </c>
      <c r="H75">
        <f t="shared" si="7"/>
        <v>74</v>
      </c>
      <c r="I75">
        <f t="shared" si="8"/>
        <v>74</v>
      </c>
      <c r="J75" t="str">
        <f t="shared" si="11"/>
        <v>ΠΕΤΡΟΥΠΟΛΕΩΣ - ΑΤΤΙΚΗΣ</v>
      </c>
      <c r="K75" t="str">
        <f t="shared" si="9"/>
        <v>ΑΤΤΙΚΗΣ</v>
      </c>
      <c r="L75" t="str">
        <f t="shared" si="10"/>
        <v>ΠΕΤΡΟΥΠΟΛΕΩΣ</v>
      </c>
      <c r="M75" s="65" t="s">
        <v>417</v>
      </c>
      <c r="N75" t="str">
        <f t="shared" si="12"/>
        <v xml:space="preserve">ΑΤΤΙΚΗΣ - ΠΕΤΡΟΥΠΟΛΕΩΣ, </v>
      </c>
      <c r="O7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6" spans="1:15" x14ac:dyDescent="0.3">
      <c r="A76" s="77">
        <v>75</v>
      </c>
      <c r="B76" t="s">
        <v>38</v>
      </c>
      <c r="C76" t="s">
        <v>370</v>
      </c>
      <c r="D76" t="s">
        <v>109</v>
      </c>
      <c r="E76" t="s">
        <v>614</v>
      </c>
      <c r="F76">
        <v>14416</v>
      </c>
      <c r="G76" t="str">
        <f>LOOKUP(B76,ΠΕΡΙΦΕΡΕΙΑ!$A$2:$A$14,ΠΕΡΙΦΕΡΕΙΑ!$B$2:$B$14)</f>
        <v>Μερική</v>
      </c>
      <c r="H76">
        <f t="shared" si="7"/>
        <v>75</v>
      </c>
      <c r="I76">
        <f t="shared" si="8"/>
        <v>75</v>
      </c>
      <c r="J76" t="str">
        <f t="shared" si="11"/>
        <v>ΠΟΡΟΥ - ΑΤΤΙΚΗΣ</v>
      </c>
      <c r="K76" t="str">
        <f t="shared" si="9"/>
        <v>ΑΤΤΙΚΗΣ</v>
      </c>
      <c r="L76" t="str">
        <f t="shared" si="10"/>
        <v>ΠΟΡΟΥ</v>
      </c>
      <c r="M76" s="65" t="s">
        <v>418</v>
      </c>
      <c r="N76" t="str">
        <f t="shared" si="12"/>
        <v/>
      </c>
      <c r="O7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7" spans="1:15" x14ac:dyDescent="0.3">
      <c r="A77" s="77">
        <v>76</v>
      </c>
      <c r="B77" t="s">
        <v>38</v>
      </c>
      <c r="C77" t="s">
        <v>365</v>
      </c>
      <c r="D77" t="s">
        <v>70</v>
      </c>
      <c r="E77" t="s">
        <v>615</v>
      </c>
      <c r="F77">
        <v>14380</v>
      </c>
      <c r="G77" t="str">
        <f>LOOKUP(B77,ΠΕΡΙΦΕΡΕΙΑ!$A$2:$A$14,ΠΕΡΙΦΕΡΕΙΑ!$B$2:$B$14)</f>
        <v>Μερική</v>
      </c>
      <c r="H77">
        <f t="shared" si="7"/>
        <v>76</v>
      </c>
      <c r="I77">
        <f t="shared" si="8"/>
        <v>76</v>
      </c>
      <c r="J77" t="str">
        <f t="shared" si="11"/>
        <v>ΡΑΦΗΝΑΣ – ΠΙΚΕΡΜΙΟΥ - ΑΤΤΙΚΗΣ</v>
      </c>
      <c r="K77" t="str">
        <f t="shared" si="9"/>
        <v>ΑΤΤΙΚΗΣ</v>
      </c>
      <c r="L77" t="str">
        <f t="shared" si="10"/>
        <v>ΡΑΦΗΝΑΣ – ΠΙΚΕΡΜΙΟΥ</v>
      </c>
      <c r="M77" s="65" t="s">
        <v>417</v>
      </c>
      <c r="N77" t="str">
        <f t="shared" si="12"/>
        <v xml:space="preserve">ΑΤΤΙΚΗΣ - ΡΑΦΗΝΑΣ – ΠΙΚΕΡΜΙΟΥ, </v>
      </c>
      <c r="O7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</v>
      </c>
    </row>
    <row r="78" spans="1:15" x14ac:dyDescent="0.3">
      <c r="A78" s="77">
        <v>77</v>
      </c>
      <c r="B78" t="s">
        <v>38</v>
      </c>
      <c r="C78" t="s">
        <v>370</v>
      </c>
      <c r="D78" t="s">
        <v>110</v>
      </c>
      <c r="E78" t="s">
        <v>616</v>
      </c>
      <c r="F78">
        <v>14430</v>
      </c>
      <c r="G78" t="str">
        <f>LOOKUP(B78,ΠΕΡΙΦΕΡΕΙΑ!$A$2:$A$14,ΠΕΡΙΦΕΡΕΙΑ!$B$2:$B$14)</f>
        <v>Μερική</v>
      </c>
      <c r="H78">
        <f t="shared" si="7"/>
        <v>77</v>
      </c>
      <c r="I78">
        <f t="shared" si="8"/>
        <v>77</v>
      </c>
      <c r="J78" t="str">
        <f t="shared" si="11"/>
        <v>ΣΑΛΑΜΙΝΟΣ - ΑΤΤΙΚΗΣ</v>
      </c>
      <c r="K78" t="str">
        <f t="shared" si="9"/>
        <v>ΑΤΤΙΚΗΣ</v>
      </c>
      <c r="L78" t="str">
        <f t="shared" si="10"/>
        <v>ΣΑΛΑΜΙΝΟΣ</v>
      </c>
      <c r="M78" s="65" t="s">
        <v>417</v>
      </c>
      <c r="N78" t="str">
        <f t="shared" si="12"/>
        <v xml:space="preserve">ΑΤΤΙΚΗΣ - ΣΑΛΑΜΙΝΟΣ, </v>
      </c>
      <c r="O7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</v>
      </c>
    </row>
    <row r="79" spans="1:15" x14ac:dyDescent="0.3">
      <c r="A79" s="77">
        <v>78</v>
      </c>
      <c r="B79" t="s">
        <v>38</v>
      </c>
      <c r="C79" t="s">
        <v>365</v>
      </c>
      <c r="D79" t="s">
        <v>71</v>
      </c>
      <c r="E79" t="s">
        <v>617</v>
      </c>
      <c r="F79">
        <v>14448</v>
      </c>
      <c r="G79" t="str">
        <f>LOOKUP(B79,ΠΕΡΙΦΕΡΕΙΑ!$A$2:$A$14,ΠΕΡΙΦΕΡΕΙΑ!$B$2:$B$14)</f>
        <v>Μερική</v>
      </c>
      <c r="H79">
        <f t="shared" si="7"/>
        <v>78</v>
      </c>
      <c r="I79">
        <f t="shared" si="8"/>
        <v>78</v>
      </c>
      <c r="J79" t="str">
        <f t="shared" si="11"/>
        <v>ΣΑΡΩΝΙΚΟΥ - ΑΤΤΙΚΗΣ</v>
      </c>
      <c r="K79" t="str">
        <f t="shared" si="9"/>
        <v>ΑΤΤΙΚΗΣ</v>
      </c>
      <c r="L79" t="str">
        <f t="shared" si="10"/>
        <v>ΣΑΡΩΝΙΚΟΥ</v>
      </c>
      <c r="M79" s="65" t="s">
        <v>417</v>
      </c>
      <c r="N79" t="str">
        <f t="shared" si="12"/>
        <v xml:space="preserve">ΑΤΤΙΚΗΣ - ΣΑΡΩΝΙΚΟΥ, </v>
      </c>
      <c r="O7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</v>
      </c>
    </row>
    <row r="80" spans="1:15" x14ac:dyDescent="0.3">
      <c r="A80" s="77">
        <v>79</v>
      </c>
      <c r="B80" t="s">
        <v>38</v>
      </c>
      <c r="C80" t="s">
        <v>365</v>
      </c>
      <c r="D80" t="s">
        <v>72</v>
      </c>
      <c r="E80" t="s">
        <v>618</v>
      </c>
      <c r="F80">
        <v>14480</v>
      </c>
      <c r="G80" t="str">
        <f>LOOKUP(B80,ΠΕΡΙΦΕΡΕΙΑ!$A$2:$A$14,ΠΕΡΙΦΕΡΕΙΑ!$B$2:$B$14)</f>
        <v>Μερική</v>
      </c>
      <c r="H80">
        <f t="shared" si="7"/>
        <v>79</v>
      </c>
      <c r="I80">
        <f t="shared" si="8"/>
        <v>79</v>
      </c>
      <c r="J80" t="str">
        <f t="shared" si="11"/>
        <v>ΣΠΑΤΩΝ – ΑΡΤΕΜΙΔΟΣ - ΑΤΤΙΚΗΣ</v>
      </c>
      <c r="K80" t="str">
        <f t="shared" si="9"/>
        <v>ΑΤΤΙΚΗΣ</v>
      </c>
      <c r="L80" t="str">
        <f t="shared" si="10"/>
        <v>ΣΠΑΤΩΝ – ΑΡΤΕΜΙΔΟΣ</v>
      </c>
      <c r="M80" s="65" t="s">
        <v>417</v>
      </c>
      <c r="N80" t="str">
        <f t="shared" si="12"/>
        <v xml:space="preserve">ΑΤΤΙΚΗΣ - ΣΠΑΤΩΝ – ΑΡΤΕΜΙΔΟΣ, </v>
      </c>
      <c r="O8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1" spans="1:15" x14ac:dyDescent="0.3">
      <c r="A81" s="77">
        <v>80</v>
      </c>
      <c r="B81" t="s">
        <v>38</v>
      </c>
      <c r="C81" t="s">
        <v>370</v>
      </c>
      <c r="D81" t="s">
        <v>111</v>
      </c>
      <c r="E81" t="s">
        <v>619</v>
      </c>
      <c r="F81">
        <v>14482</v>
      </c>
      <c r="G81" t="str">
        <f>LOOKUP(B81,ΠΕΡΙΦΕΡΕΙΑ!$A$2:$A$14,ΠΕΡΙΦΕΡΕΙΑ!$B$2:$B$14)</f>
        <v>Μερική</v>
      </c>
      <c r="H81">
        <f t="shared" si="7"/>
        <v>80</v>
      </c>
      <c r="I81">
        <f t="shared" si="8"/>
        <v>80</v>
      </c>
      <c r="J81" t="str">
        <f t="shared" si="11"/>
        <v>ΣΠΕΤΣΩΝ - ΑΤΤΙΚΗΣ</v>
      </c>
      <c r="K81" t="str">
        <f t="shared" si="9"/>
        <v>ΑΤΤΙΚΗΣ</v>
      </c>
      <c r="L81" t="str">
        <f t="shared" si="10"/>
        <v>ΣΠΕΤΣΩΝ</v>
      </c>
      <c r="M81" s="65" t="s">
        <v>418</v>
      </c>
      <c r="N81" t="str">
        <f t="shared" si="12"/>
        <v/>
      </c>
      <c r="O8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2" spans="1:15" x14ac:dyDescent="0.3">
      <c r="A82" s="77">
        <v>81</v>
      </c>
      <c r="B82" t="s">
        <v>38</v>
      </c>
      <c r="C82" t="s">
        <v>370</v>
      </c>
      <c r="D82" t="s">
        <v>112</v>
      </c>
      <c r="E82" t="s">
        <v>620</v>
      </c>
      <c r="F82">
        <v>14502</v>
      </c>
      <c r="G82" t="str">
        <f>LOOKUP(B82,ΠΕΡΙΦΕΡΕΙΑ!$A$2:$A$14,ΠΕΡΙΦΕΡΕΙΑ!$B$2:$B$14)</f>
        <v>Μερική</v>
      </c>
      <c r="H82">
        <f t="shared" si="7"/>
        <v>81</v>
      </c>
      <c r="I82">
        <f t="shared" si="8"/>
        <v>81</v>
      </c>
      <c r="J82" t="str">
        <f t="shared" si="11"/>
        <v>ΤΡΟΙΖΗΝΙΑΣ - ΑΤΤΙΚΗΣ</v>
      </c>
      <c r="K82" t="str">
        <f t="shared" si="9"/>
        <v>ΑΤΤΙΚΗΣ</v>
      </c>
      <c r="L82" t="str">
        <f t="shared" si="10"/>
        <v>ΤΡΟΙΖΗΝΙΑΣ</v>
      </c>
      <c r="M82" s="65" t="s">
        <v>417</v>
      </c>
      <c r="N82" t="str">
        <f t="shared" si="12"/>
        <v xml:space="preserve">ΑΤΤΙΚΗΣ - ΤΡΟΙΖΗΝΙΑΣ, </v>
      </c>
      <c r="O8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</v>
      </c>
    </row>
    <row r="83" spans="1:15" x14ac:dyDescent="0.3">
      <c r="A83" s="77">
        <v>82</v>
      </c>
      <c r="B83" t="s">
        <v>38</v>
      </c>
      <c r="C83" t="s">
        <v>370</v>
      </c>
      <c r="D83" t="s">
        <v>113</v>
      </c>
      <c r="E83" t="s">
        <v>621</v>
      </c>
      <c r="F83">
        <v>14508</v>
      </c>
      <c r="G83" t="str">
        <f>LOOKUP(B83,ΠΕΡΙΦΕΡΕΙΑ!$A$2:$A$14,ΠΕΡΙΦΕΡΕΙΑ!$B$2:$B$14)</f>
        <v>Μερική</v>
      </c>
      <c r="H83">
        <f t="shared" si="7"/>
        <v>82</v>
      </c>
      <c r="I83">
        <f t="shared" si="8"/>
        <v>82</v>
      </c>
      <c r="J83" t="str">
        <f t="shared" si="11"/>
        <v>ΥΔΡΑΣ - ΑΤΤΙΚΗΣ</v>
      </c>
      <c r="K83" t="str">
        <f t="shared" si="9"/>
        <v>ΑΤΤΙΚΗΣ</v>
      </c>
      <c r="L83" t="str">
        <f t="shared" si="10"/>
        <v>ΥΔΡΑΣ</v>
      </c>
      <c r="M83" s="65" t="s">
        <v>417</v>
      </c>
      <c r="N83" t="str">
        <f t="shared" si="12"/>
        <v xml:space="preserve">ΑΤΤΙΚΗΣ - ΥΔΡΑΣ, </v>
      </c>
      <c r="O8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</v>
      </c>
    </row>
    <row r="84" spans="1:15" x14ac:dyDescent="0.3">
      <c r="A84" s="77">
        <v>83</v>
      </c>
      <c r="B84" t="s">
        <v>38</v>
      </c>
      <c r="C84" t="s">
        <v>369</v>
      </c>
      <c r="D84" t="s">
        <v>105</v>
      </c>
      <c r="E84" t="s">
        <v>622</v>
      </c>
      <c r="F84">
        <v>14514</v>
      </c>
      <c r="G84" t="str">
        <f>LOOKUP(B84,ΠΕΡΙΦΕΡΕΙΑ!$A$2:$A$14,ΠΕΡΙΦΕΡΕΙΑ!$B$2:$B$14)</f>
        <v>Μερική</v>
      </c>
      <c r="H84">
        <f t="shared" si="7"/>
        <v>83</v>
      </c>
      <c r="I84">
        <f t="shared" si="8"/>
        <v>83</v>
      </c>
      <c r="J84" t="str">
        <f t="shared" si="11"/>
        <v>ΦΙΛΑΔΕΛΦΕΙΑΣ – ΧΑΛΚΗΔΟΝΟΣ - ΑΤΤΙΚΗΣ</v>
      </c>
      <c r="K84" t="str">
        <f t="shared" si="9"/>
        <v>ΑΤΤΙΚΗΣ</v>
      </c>
      <c r="L84" t="str">
        <f t="shared" si="10"/>
        <v>ΦΙΛΑΔΕΛΦΕΙΑΣ – ΧΑΛΚΗΔΟΝΟΣ</v>
      </c>
      <c r="M84" s="65" t="s">
        <v>417</v>
      </c>
      <c r="N84" t="str">
        <f t="shared" si="12"/>
        <v xml:space="preserve">ΑΤΤΙΚΗΣ - ΦΙΛΑΔΕΛΦΕΙΑΣ – ΧΑΛΚΗΔΟΝΟΣ, </v>
      </c>
      <c r="O8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</v>
      </c>
    </row>
    <row r="85" spans="1:15" x14ac:dyDescent="0.3">
      <c r="A85" s="77">
        <v>84</v>
      </c>
      <c r="B85" t="s">
        <v>38</v>
      </c>
      <c r="C85" t="s">
        <v>366</v>
      </c>
      <c r="D85" t="s">
        <v>84</v>
      </c>
      <c r="E85" t="s">
        <v>623</v>
      </c>
      <c r="F85">
        <v>14518</v>
      </c>
      <c r="G85" t="str">
        <f>LOOKUP(B85,ΠΕΡΙΦΕΡΕΙΑ!$A$2:$A$14,ΠΕΡΙΦΕΡΕΙΑ!$B$2:$B$14)</f>
        <v>Μερική</v>
      </c>
      <c r="H85">
        <f t="shared" si="7"/>
        <v>84</v>
      </c>
      <c r="I85">
        <f t="shared" si="8"/>
        <v>84</v>
      </c>
      <c r="J85" t="str">
        <f t="shared" si="11"/>
        <v>ΦΙΛΟΘΕΗΣ – ΨΥΧΙΚΟΥ - ΑΤΤΙΚΗΣ</v>
      </c>
      <c r="K85" t="str">
        <f t="shared" si="9"/>
        <v>ΑΤΤΙΚΗΣ</v>
      </c>
      <c r="L85" t="str">
        <f t="shared" si="10"/>
        <v>ΦΙΛΟΘΕΗΣ – ΨΥΧΙΚΟΥ</v>
      </c>
      <c r="M85" s="65" t="s">
        <v>417</v>
      </c>
      <c r="N85" t="str">
        <f t="shared" si="12"/>
        <v xml:space="preserve">ΑΤΤΙΚΗΣ - ΦΙΛΟΘΕΗΣ – ΨΥΧΙΚΟΥ, </v>
      </c>
      <c r="O8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</v>
      </c>
    </row>
    <row r="86" spans="1:15" x14ac:dyDescent="0.3">
      <c r="A86" s="77">
        <v>85</v>
      </c>
      <c r="B86" t="s">
        <v>38</v>
      </c>
      <c r="C86" t="s">
        <v>367</v>
      </c>
      <c r="D86" t="s">
        <v>90</v>
      </c>
      <c r="E86" t="s">
        <v>624</v>
      </c>
      <c r="F86">
        <v>14528</v>
      </c>
      <c r="G86" t="str">
        <f>LOOKUP(B86,ΠΕΡΙΦΕΡΕΙΑ!$A$2:$A$14,ΠΕΡΙΦΕΡΕΙΑ!$B$2:$B$14)</f>
        <v>Μερική</v>
      </c>
      <c r="H86">
        <f t="shared" si="7"/>
        <v>85</v>
      </c>
      <c r="I86">
        <f t="shared" si="8"/>
        <v>85</v>
      </c>
      <c r="J86" t="str">
        <f t="shared" si="11"/>
        <v>ΦΥΛΗΣ - ΑΤΤΙΚΗΣ</v>
      </c>
      <c r="K86" t="str">
        <f t="shared" si="9"/>
        <v>ΑΤΤΙΚΗΣ</v>
      </c>
      <c r="L86" t="str">
        <f t="shared" si="10"/>
        <v>ΦΥΛΗΣ</v>
      </c>
      <c r="M86" s="65" t="s">
        <v>417</v>
      </c>
      <c r="N86" t="str">
        <f t="shared" si="12"/>
        <v xml:space="preserve">ΑΤΤΙΚΗΣ - ΦΥΛΗΣ, </v>
      </c>
      <c r="O8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</v>
      </c>
    </row>
    <row r="87" spans="1:15" x14ac:dyDescent="0.3">
      <c r="A87" s="77">
        <v>86</v>
      </c>
      <c r="B87" t="s">
        <v>38</v>
      </c>
      <c r="C87" t="s">
        <v>368</v>
      </c>
      <c r="D87" t="s">
        <v>97</v>
      </c>
      <c r="E87" t="s">
        <v>625</v>
      </c>
      <c r="F87">
        <v>14526</v>
      </c>
      <c r="G87" t="str">
        <f>LOOKUP(B87,ΠΕΡΙΦΕΡΕΙΑ!$A$2:$A$14,ΠΕΡΙΦΕΡΕΙΑ!$B$2:$B$14)</f>
        <v>Μερική</v>
      </c>
      <c r="H87">
        <f t="shared" si="7"/>
        <v>86</v>
      </c>
      <c r="I87">
        <f t="shared" si="8"/>
        <v>86</v>
      </c>
      <c r="J87" t="str">
        <f t="shared" si="11"/>
        <v>ΧΑΪΔΑΡΙΟΥ - ΑΤΤΙΚΗΣ</v>
      </c>
      <c r="K87" t="str">
        <f t="shared" si="9"/>
        <v>ΑΤΤΙΚΗΣ</v>
      </c>
      <c r="L87" t="str">
        <f t="shared" si="10"/>
        <v>ΧΑΪΔΑΡΙΟΥ</v>
      </c>
      <c r="M87" s="65" t="s">
        <v>417</v>
      </c>
      <c r="N87" t="str">
        <f t="shared" si="12"/>
        <v xml:space="preserve">ΑΤΤΙΚΗΣ - ΧΑΪΔΑΡΙΟΥ, </v>
      </c>
      <c r="O8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</v>
      </c>
    </row>
    <row r="88" spans="1:15" x14ac:dyDescent="0.3">
      <c r="A88" s="77">
        <v>87</v>
      </c>
      <c r="B88" t="s">
        <v>38</v>
      </c>
      <c r="C88" t="s">
        <v>366</v>
      </c>
      <c r="D88" t="s">
        <v>85</v>
      </c>
      <c r="E88" t="s">
        <v>626</v>
      </c>
      <c r="F88">
        <v>14530</v>
      </c>
      <c r="G88" t="str">
        <f>LOOKUP(B88,ΠΕΡΙΦΕΡΕΙΑ!$A$2:$A$14,ΠΕΡΙΦΕΡΕΙΑ!$B$2:$B$14)</f>
        <v>Μερική</v>
      </c>
      <c r="H88">
        <f t="shared" si="7"/>
        <v>87</v>
      </c>
      <c r="I88">
        <f t="shared" si="8"/>
        <v>87</v>
      </c>
      <c r="J88" t="str">
        <f t="shared" si="11"/>
        <v>ΧΑΛΑΝΔΡΙΟΥ - ΑΤΤΙΚΗΣ</v>
      </c>
      <c r="K88" t="str">
        <f t="shared" si="9"/>
        <v>ΑΤΤΙΚΗΣ</v>
      </c>
      <c r="L88" t="str">
        <f t="shared" si="10"/>
        <v>ΧΑΛΑΝΔΡΙΟΥ</v>
      </c>
      <c r="M88" s="65" t="s">
        <v>417</v>
      </c>
      <c r="N88" t="str">
        <f t="shared" si="12"/>
        <v xml:space="preserve">ΑΤΤΙΚΗΣ - ΧΑΛΑΝΔΡΙΟΥ, </v>
      </c>
      <c r="O8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</v>
      </c>
    </row>
    <row r="89" spans="1:15" x14ac:dyDescent="0.3">
      <c r="A89" s="77">
        <v>88</v>
      </c>
      <c r="B89" t="s">
        <v>38</v>
      </c>
      <c r="C89" t="s">
        <v>365</v>
      </c>
      <c r="D89" t="s">
        <v>73</v>
      </c>
      <c r="E89" t="s">
        <v>627</v>
      </c>
      <c r="F89">
        <v>14548</v>
      </c>
      <c r="G89" t="str">
        <f>LOOKUP(B89,ΠΕΡΙΦΕΡΕΙΑ!$A$2:$A$14,ΠΕΡΙΦΕΡΕΙΑ!$B$2:$B$14)</f>
        <v>Μερική</v>
      </c>
      <c r="H89">
        <f t="shared" si="7"/>
        <v>88</v>
      </c>
      <c r="I89">
        <f t="shared" si="8"/>
        <v>88</v>
      </c>
      <c r="J89" t="str">
        <f t="shared" si="11"/>
        <v>ΩΡΩΠΟΥ - ΑΤΤΙΚΗΣ</v>
      </c>
      <c r="K89" t="str">
        <f t="shared" si="9"/>
        <v>ΑΤΤΙΚΗΣ</v>
      </c>
      <c r="L89" t="str">
        <f t="shared" si="10"/>
        <v>ΩΡΩΠΟΥ</v>
      </c>
      <c r="M89" s="65" t="s">
        <v>417</v>
      </c>
      <c r="N89" t="str">
        <f t="shared" si="12"/>
        <v xml:space="preserve">ΑΤΤΙΚΗΣ - ΩΡΩΠΟΥ, </v>
      </c>
      <c r="O8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</v>
      </c>
    </row>
    <row r="90" spans="1:15" x14ac:dyDescent="0.3">
      <c r="A90" s="77">
        <v>89</v>
      </c>
      <c r="B90" t="s">
        <v>402</v>
      </c>
      <c r="C90" t="s">
        <v>131</v>
      </c>
      <c r="D90" t="s">
        <v>130</v>
      </c>
      <c r="E90" t="s">
        <v>628</v>
      </c>
      <c r="F90">
        <v>13928</v>
      </c>
      <c r="G90" t="str">
        <f>LOOKUP(B90,ΠΕΡΙΦΕΡΕΙΑ!$A$2:$A$14,ΠΕΡΙΦΕΡΕΙΑ!$B$2:$B$14)</f>
        <v>Μερική</v>
      </c>
      <c r="H90">
        <f t="shared" si="7"/>
        <v>89</v>
      </c>
      <c r="I90">
        <f t="shared" si="8"/>
        <v>89</v>
      </c>
      <c r="J90" t="str">
        <f t="shared" si="11"/>
        <v>ΑΓΙΟΥ ΕΥΣΤΡΑΤΙΟΥ - ΒΟΡΕΙΟΥ ΑΙΓΑΙΟΥ</v>
      </c>
      <c r="K90" t="str">
        <f t="shared" si="9"/>
        <v>ΒΟΡΕΙΟΥ ΑΙΓΑΙΟΥ</v>
      </c>
      <c r="L90" t="str">
        <f t="shared" si="10"/>
        <v>ΑΓΙΟΥ ΕΥΣΤΡΑΤΙΟΥ</v>
      </c>
      <c r="M90" s="65" t="s">
        <v>418</v>
      </c>
      <c r="N90" t="str">
        <f t="shared" si="12"/>
        <v/>
      </c>
      <c r="O9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</v>
      </c>
    </row>
    <row r="91" spans="1:15" x14ac:dyDescent="0.3">
      <c r="A91" s="77">
        <v>90</v>
      </c>
      <c r="B91" t="s">
        <v>402</v>
      </c>
      <c r="C91" t="s">
        <v>127</v>
      </c>
      <c r="D91" t="s">
        <v>127</v>
      </c>
      <c r="E91" t="s">
        <v>629</v>
      </c>
      <c r="F91">
        <v>14148</v>
      </c>
      <c r="G91" t="str">
        <f>LOOKUP(B91,ΠΕΡΙΦΕΡΕΙΑ!$A$2:$A$14,ΠΕΡΙΦΕΡΕΙΑ!$B$2:$B$14)</f>
        <v>Μερική</v>
      </c>
      <c r="H91">
        <f t="shared" si="7"/>
        <v>90</v>
      </c>
      <c r="I91">
        <f t="shared" si="8"/>
        <v>90</v>
      </c>
      <c r="J91" t="str">
        <f t="shared" si="11"/>
        <v>ΙΚΑΡΙΑΣ - ΒΟΡΕΙΟΥ ΑΙΓΑΙΟΥ</v>
      </c>
      <c r="K91" t="str">
        <f t="shared" si="9"/>
        <v>ΒΟΡΕΙΟΥ ΑΙΓΑΙΟΥ</v>
      </c>
      <c r="L91" t="str">
        <f t="shared" si="10"/>
        <v>ΙΚΑΡΙΑΣ</v>
      </c>
      <c r="M91" s="65" t="s">
        <v>417</v>
      </c>
      <c r="N91" t="str">
        <f t="shared" si="12"/>
        <v xml:space="preserve">ΒΟΡΕΙΟΥ ΑΙΓΑΙΟΥ - ΙΚΑΡΙΑΣ, </v>
      </c>
      <c r="O9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</v>
      </c>
    </row>
    <row r="92" spans="1:15" x14ac:dyDescent="0.3">
      <c r="A92" s="77">
        <v>91</v>
      </c>
      <c r="B92" t="s">
        <v>402</v>
      </c>
      <c r="C92" t="s">
        <v>129</v>
      </c>
      <c r="D92" t="s">
        <v>129</v>
      </c>
      <c r="E92" t="s">
        <v>630</v>
      </c>
      <c r="F92">
        <v>14256</v>
      </c>
      <c r="G92" t="str">
        <f>LOOKUP(B92,ΠΕΡΙΦΕΡΕΙΑ!$A$2:$A$14,ΠΕΡΙΦΕΡΕΙΑ!$B$2:$B$14)</f>
        <v>Μερική</v>
      </c>
      <c r="H92">
        <f t="shared" si="7"/>
        <v>91</v>
      </c>
      <c r="I92">
        <f t="shared" si="8"/>
        <v>91</v>
      </c>
      <c r="J92" t="str">
        <f t="shared" si="11"/>
        <v>ΛΕΣΒΟΥ - ΒΟΡΕΙΟΥ ΑΙΓΑΙΟΥ</v>
      </c>
      <c r="K92" t="str">
        <f t="shared" si="9"/>
        <v>ΒΟΡΕΙΟΥ ΑΙΓΑΙΟΥ</v>
      </c>
      <c r="L92" t="str">
        <f t="shared" si="10"/>
        <v>ΛΕΣΒΟΥ</v>
      </c>
      <c r="M92" s="65" t="s">
        <v>417</v>
      </c>
      <c r="N92" t="str">
        <f t="shared" si="12"/>
        <v xml:space="preserve">ΒΟΡΕΙΟΥ ΑΙΓΑΙΟΥ - ΛΕΣΒΟΥ, </v>
      </c>
      <c r="O9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3" spans="1:15" x14ac:dyDescent="0.3">
      <c r="A93" s="77">
        <v>92</v>
      </c>
      <c r="B93" t="s">
        <v>402</v>
      </c>
      <c r="C93" t="s">
        <v>131</v>
      </c>
      <c r="D93" t="s">
        <v>131</v>
      </c>
      <c r="E93" t="s">
        <v>631</v>
      </c>
      <c r="F93">
        <v>14240</v>
      </c>
      <c r="G93" t="str">
        <f>LOOKUP(B93,ΠΕΡΙΦΕΡΕΙΑ!$A$2:$A$14,ΠΕΡΙΦΕΡΕΙΑ!$B$2:$B$14)</f>
        <v>Μερική</v>
      </c>
      <c r="H93">
        <f t="shared" si="7"/>
        <v>92</v>
      </c>
      <c r="I93">
        <f t="shared" si="8"/>
        <v>92</v>
      </c>
      <c r="J93" t="str">
        <f t="shared" si="11"/>
        <v>ΛΗΜΝΟΥ - ΒΟΡΕΙΟΥ ΑΙΓΑΙΟΥ</v>
      </c>
      <c r="K93" t="str">
        <f t="shared" si="9"/>
        <v>ΒΟΡΕΙΟΥ ΑΙΓΑΙΟΥ</v>
      </c>
      <c r="L93" t="str">
        <f t="shared" si="10"/>
        <v>ΛΗΜΝΟΥ</v>
      </c>
      <c r="M93" s="65" t="s">
        <v>418</v>
      </c>
      <c r="N93" t="str">
        <f t="shared" si="12"/>
        <v/>
      </c>
      <c r="O9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4" spans="1:15" x14ac:dyDescent="0.3">
      <c r="A94" s="77">
        <v>93</v>
      </c>
      <c r="B94" t="s">
        <v>402</v>
      </c>
      <c r="C94" t="s">
        <v>134</v>
      </c>
      <c r="D94" t="s">
        <v>133</v>
      </c>
      <c r="E94" t="s">
        <v>632</v>
      </c>
      <c r="F94">
        <v>14348</v>
      </c>
      <c r="G94" t="str">
        <f>LOOKUP(B94,ΠΕΡΙΦΕΡΕΙΑ!$A$2:$A$14,ΠΕΡΙΦΕΡΕΙΑ!$B$2:$B$14)</f>
        <v>Μερική</v>
      </c>
      <c r="H94">
        <f t="shared" si="7"/>
        <v>93</v>
      </c>
      <c r="I94">
        <f t="shared" si="8"/>
        <v>93</v>
      </c>
      <c r="J94" t="str">
        <f t="shared" si="11"/>
        <v>ΟΙΝΟΥΣΣΩΝ - ΒΟΡΕΙΟΥ ΑΙΓΑΙΟΥ</v>
      </c>
      <c r="K94" t="str">
        <f t="shared" si="9"/>
        <v>ΒΟΡΕΙΟΥ ΑΙΓΑΙΟΥ</v>
      </c>
      <c r="L94" t="str">
        <f t="shared" si="10"/>
        <v>ΟΙΝΟΥΣΣΩΝ</v>
      </c>
      <c r="M94" s="65" t="s">
        <v>418</v>
      </c>
      <c r="N94" t="str">
        <f t="shared" si="12"/>
        <v/>
      </c>
      <c r="O9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5" spans="1:15" x14ac:dyDescent="0.3">
      <c r="A95" s="77">
        <v>94</v>
      </c>
      <c r="B95" t="s">
        <v>402</v>
      </c>
      <c r="C95" t="s">
        <v>132</v>
      </c>
      <c r="D95" t="s">
        <v>132</v>
      </c>
      <c r="E95" t="s">
        <v>633</v>
      </c>
      <c r="F95">
        <v>14446</v>
      </c>
      <c r="G95" t="str">
        <f>LOOKUP(B95,ΠΕΡΙΦΕΡΕΙΑ!$A$2:$A$14,ΠΕΡΙΦΕΡΕΙΑ!$B$2:$B$14)</f>
        <v>Μερική</v>
      </c>
      <c r="H95">
        <f t="shared" si="7"/>
        <v>94</v>
      </c>
      <c r="I95">
        <f t="shared" si="8"/>
        <v>94</v>
      </c>
      <c r="J95" t="str">
        <f t="shared" si="11"/>
        <v>ΣΑΜΟΥ - ΒΟΡΕΙΟΥ ΑΙΓΑΙΟΥ</v>
      </c>
      <c r="K95" t="str">
        <f t="shared" si="9"/>
        <v>ΒΟΡΕΙΟΥ ΑΙΓΑΙΟΥ</v>
      </c>
      <c r="L95" t="str">
        <f t="shared" si="10"/>
        <v>ΣΑΜΟΥ</v>
      </c>
      <c r="M95" s="65" t="s">
        <v>417</v>
      </c>
      <c r="N95" t="str">
        <f t="shared" si="12"/>
        <v xml:space="preserve">ΒΟΡΕΙΟΥ ΑΙΓΑΙΟΥ - ΣΑΜΟΥ, </v>
      </c>
      <c r="O9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</v>
      </c>
    </row>
    <row r="96" spans="1:15" x14ac:dyDescent="0.3">
      <c r="A96" s="77">
        <v>95</v>
      </c>
      <c r="B96" t="s">
        <v>402</v>
      </c>
      <c r="C96" t="s">
        <v>127</v>
      </c>
      <c r="D96" t="s">
        <v>128</v>
      </c>
      <c r="E96" t="s">
        <v>634</v>
      </c>
      <c r="F96">
        <v>14524</v>
      </c>
      <c r="G96" t="str">
        <f>LOOKUP(B96,ΠΕΡΙΦΕΡΕΙΑ!$A$2:$A$14,ΠΕΡΙΦΕΡΕΙΑ!$B$2:$B$14)</f>
        <v>Μερική</v>
      </c>
      <c r="H96">
        <f t="shared" si="7"/>
        <v>95</v>
      </c>
      <c r="I96">
        <f t="shared" si="8"/>
        <v>95</v>
      </c>
      <c r="J96" t="str">
        <f t="shared" si="11"/>
        <v>ΦΟΥΡΝΩΝ ΚΟΡΣΕΩΝ - ΒΟΡΕΙΟΥ ΑΙΓΑΙΟΥ</v>
      </c>
      <c r="K96" t="str">
        <f t="shared" si="9"/>
        <v>ΒΟΡΕΙΟΥ ΑΙΓΑΙΟΥ</v>
      </c>
      <c r="L96" t="str">
        <f t="shared" si="10"/>
        <v>ΦΟΥΡΝΩΝ ΚΟΡΣΕΩΝ</v>
      </c>
      <c r="M96" s="65" t="s">
        <v>418</v>
      </c>
      <c r="N96" t="str">
        <f t="shared" si="12"/>
        <v/>
      </c>
      <c r="O9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</v>
      </c>
    </row>
    <row r="97" spans="1:15" x14ac:dyDescent="0.3">
      <c r="A97" s="77">
        <v>96</v>
      </c>
      <c r="B97" t="s">
        <v>402</v>
      </c>
      <c r="C97" t="s">
        <v>134</v>
      </c>
      <c r="D97" t="s">
        <v>134</v>
      </c>
      <c r="E97" t="s">
        <v>635</v>
      </c>
      <c r="F97">
        <v>14542</v>
      </c>
      <c r="G97" t="str">
        <f>LOOKUP(B97,ΠΕΡΙΦΕΡΕΙΑ!$A$2:$A$14,ΠΕΡΙΦΕΡΕΙΑ!$B$2:$B$14)</f>
        <v>Μερική</v>
      </c>
      <c r="H97">
        <f t="shared" si="7"/>
        <v>96</v>
      </c>
      <c r="I97">
        <f t="shared" si="8"/>
        <v>96</v>
      </c>
      <c r="J97" t="str">
        <f t="shared" si="11"/>
        <v>ΧΙΟΥ - ΒΟΡΕΙΟΥ ΑΙΓΑΙΟΥ</v>
      </c>
      <c r="K97" t="str">
        <f t="shared" si="9"/>
        <v>ΒΟΡΕΙΟΥ ΑΙΓΑΙΟΥ</v>
      </c>
      <c r="L97" t="str">
        <f t="shared" si="10"/>
        <v>ΧΙΟΥ</v>
      </c>
      <c r="M97" s="65" t="s">
        <v>417</v>
      </c>
      <c r="N97" t="str">
        <f t="shared" si="12"/>
        <v xml:space="preserve">ΒΟΡΕΙΟΥ ΑΙΓΑΙΟΥ - ΧΙΟΥ, </v>
      </c>
      <c r="O9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</v>
      </c>
    </row>
    <row r="98" spans="1:15" x14ac:dyDescent="0.3">
      <c r="A98" s="77">
        <v>97</v>
      </c>
      <c r="B98" t="s">
        <v>402</v>
      </c>
      <c r="C98" t="s">
        <v>134</v>
      </c>
      <c r="D98" t="s">
        <v>135</v>
      </c>
      <c r="E98" t="s">
        <v>636</v>
      </c>
      <c r="F98">
        <v>14546</v>
      </c>
      <c r="G98" t="str">
        <f>LOOKUP(B98,ΠΕΡΙΦΕΡΕΙΑ!$A$2:$A$14,ΠΕΡΙΦΕΡΕΙΑ!$B$2:$B$14)</f>
        <v>Μερική</v>
      </c>
      <c r="H98">
        <f t="shared" si="7"/>
        <v>97</v>
      </c>
      <c r="I98">
        <f t="shared" si="8"/>
        <v>97</v>
      </c>
      <c r="J98" t="str">
        <f t="shared" si="11"/>
        <v>ΨΑΡΩΝ - ΒΟΡΕΙΟΥ ΑΙΓΑΙΟΥ</v>
      </c>
      <c r="K98" t="str">
        <f t="shared" si="9"/>
        <v>ΒΟΡΕΙΟΥ ΑΙΓΑΙΟΥ</v>
      </c>
      <c r="L98" t="str">
        <f t="shared" si="10"/>
        <v>ΨΑΡΩΝ</v>
      </c>
      <c r="M98" s="65" t="s">
        <v>418</v>
      </c>
      <c r="N98" t="str">
        <f t="shared" si="12"/>
        <v/>
      </c>
      <c r="O9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</v>
      </c>
    </row>
    <row r="99" spans="1:15" x14ac:dyDescent="0.3">
      <c r="A99" s="77">
        <v>98</v>
      </c>
      <c r="B99" t="s">
        <v>403</v>
      </c>
      <c r="C99" t="s">
        <v>372</v>
      </c>
      <c r="D99" t="s">
        <v>136</v>
      </c>
      <c r="E99" t="s">
        <v>637</v>
      </c>
      <c r="F99">
        <v>13942</v>
      </c>
      <c r="G99" t="str">
        <f>LOOKUP(B99,ΠΕΡΙΦΕΡΕΙΑ!$A$2:$A$14,ΠΕΡΙΦΕΡΕΙΑ!$B$2:$B$14)</f>
        <v>Μερική</v>
      </c>
      <c r="H99">
        <f t="shared" si="7"/>
        <v>98</v>
      </c>
      <c r="I99">
        <f t="shared" si="8"/>
        <v>98</v>
      </c>
      <c r="J99" t="str">
        <f t="shared" si="11"/>
        <v>ΑΓΡΙΝΙΟΥ - ΔΥΤΙΚΗΣ ΕΛΛΑΔΑΣ</v>
      </c>
      <c r="K99" t="str">
        <f t="shared" si="9"/>
        <v>ΔΥΤΙΚΗΣ ΕΛΛΑΔΑΣ</v>
      </c>
      <c r="L99" t="str">
        <f t="shared" si="10"/>
        <v>ΑΓΡΙΝΙΟΥ</v>
      </c>
      <c r="M99" s="65" t="s">
        <v>417</v>
      </c>
      <c r="N99" t="str">
        <f t="shared" si="12"/>
        <v xml:space="preserve">ΔΥΤΙΚΗΣ ΕΛΛΑΔΑΣ - ΑΓΡΙΝΙΟΥ, </v>
      </c>
      <c r="O9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</v>
      </c>
    </row>
    <row r="100" spans="1:15" x14ac:dyDescent="0.3">
      <c r="A100" s="77">
        <v>99</v>
      </c>
      <c r="B100" t="s">
        <v>403</v>
      </c>
      <c r="C100" t="s">
        <v>373</v>
      </c>
      <c r="D100" t="s">
        <v>143</v>
      </c>
      <c r="E100" t="s">
        <v>638</v>
      </c>
      <c r="F100">
        <v>13904</v>
      </c>
      <c r="G100" t="str">
        <f>LOOKUP(B100,ΠΕΡΙΦΕΡΕΙΑ!$A$2:$A$14,ΠΕΡΙΦΕΡΕΙΑ!$B$2:$B$14)</f>
        <v>Μερική</v>
      </c>
      <c r="H100">
        <f t="shared" si="7"/>
        <v>99</v>
      </c>
      <c r="I100">
        <f t="shared" si="8"/>
        <v>99</v>
      </c>
      <c r="J100" t="str">
        <f t="shared" si="11"/>
        <v>ΑΙΓΙΑΛΕΙΑΣ - ΔΥΤΙΚΗΣ ΕΛΛΑΔΑΣ</v>
      </c>
      <c r="K100" t="str">
        <f t="shared" si="9"/>
        <v>ΔΥΤΙΚΗΣ ΕΛΛΑΔΑΣ</v>
      </c>
      <c r="L100" t="str">
        <f t="shared" si="10"/>
        <v>ΑΙΓΙΑΛΕΙΑΣ</v>
      </c>
      <c r="M100" s="65" t="s">
        <v>417</v>
      </c>
      <c r="N100" t="str">
        <f t="shared" si="12"/>
        <v xml:space="preserve">ΔΥΤΙΚΗΣ ΕΛΛΑΔΑΣ - ΑΙΓΙΑΛΕΙΑΣ, </v>
      </c>
      <c r="O10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</v>
      </c>
    </row>
    <row r="101" spans="1:15" x14ac:dyDescent="0.3">
      <c r="A101" s="77">
        <v>100</v>
      </c>
      <c r="B101" t="s">
        <v>403</v>
      </c>
      <c r="C101" t="s">
        <v>372</v>
      </c>
      <c r="D101" t="s">
        <v>137</v>
      </c>
      <c r="E101" t="s">
        <v>639</v>
      </c>
      <c r="F101">
        <v>13950</v>
      </c>
      <c r="G101" t="str">
        <f>LOOKUP(B101,ΠΕΡΙΦΕΡΕΙΑ!$A$2:$A$14,ΠΕΡΙΦΕΡΕΙΑ!$B$2:$B$14)</f>
        <v>Μερική</v>
      </c>
      <c r="H101">
        <f t="shared" si="7"/>
        <v>100</v>
      </c>
      <c r="I101">
        <f t="shared" si="8"/>
        <v>100</v>
      </c>
      <c r="J101" t="str">
        <f t="shared" si="11"/>
        <v>ΑΚΤΙΟΥ – ΒΟΝΙΤΣΑΣ - ΔΥΤΙΚΗΣ ΕΛΛΑΔΑΣ</v>
      </c>
      <c r="K101" t="str">
        <f t="shared" si="9"/>
        <v>ΔΥΤΙΚΗΣ ΕΛΛΑΔΑΣ</v>
      </c>
      <c r="L101" t="str">
        <f t="shared" si="10"/>
        <v>ΑΚΤΙΟΥ – ΒΟΝΙΤΣΑΣ</v>
      </c>
      <c r="M101" s="65" t="s">
        <v>417</v>
      </c>
      <c r="N101" t="str">
        <f t="shared" si="12"/>
        <v xml:space="preserve">ΔΥΤΙΚΗΣ ΕΛΛΑΔΑΣ - ΑΚΤΙΟΥ – ΒΟΝΙΤΣΑΣ, </v>
      </c>
      <c r="O10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</v>
      </c>
    </row>
    <row r="102" spans="1:15" x14ac:dyDescent="0.3">
      <c r="A102" s="77">
        <v>101</v>
      </c>
      <c r="B102" t="s">
        <v>403</v>
      </c>
      <c r="C102" t="s">
        <v>372</v>
      </c>
      <c r="D102" t="s">
        <v>138</v>
      </c>
      <c r="E102" t="s">
        <v>640</v>
      </c>
      <c r="F102">
        <v>13974</v>
      </c>
      <c r="G102" t="str">
        <f>LOOKUP(B102,ΠΕΡΙΦΕΡΕΙΑ!$A$2:$A$14,ΠΕΡΙΦΕΡΕΙΑ!$B$2:$B$14)</f>
        <v>Μερική</v>
      </c>
      <c r="H102">
        <f t="shared" si="7"/>
        <v>101</v>
      </c>
      <c r="I102">
        <f t="shared" si="8"/>
        <v>101</v>
      </c>
      <c r="J102" t="str">
        <f t="shared" si="11"/>
        <v>ΑΜΦΙΛΟΧΙΑΣ - ΔΥΤΙΚΗΣ ΕΛΛΑΔΑΣ</v>
      </c>
      <c r="K102" t="str">
        <f t="shared" si="9"/>
        <v>ΔΥΤΙΚΗΣ ΕΛΛΑΔΑΣ</v>
      </c>
      <c r="L102" t="str">
        <f t="shared" si="10"/>
        <v>ΑΜΦΙΛΟΧΙΑΣ</v>
      </c>
      <c r="M102" s="65" t="s">
        <v>417</v>
      </c>
      <c r="N102" t="str">
        <f t="shared" si="12"/>
        <v xml:space="preserve">ΔΥΤΙΚΗΣ ΕΛΛΑΔΑΣ - ΑΜΦΙΛΟΧΙΑΣ, </v>
      </c>
      <c r="O10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3" spans="1:15" x14ac:dyDescent="0.3">
      <c r="A103" s="77">
        <v>102</v>
      </c>
      <c r="B103" t="s">
        <v>403</v>
      </c>
      <c r="C103" t="s">
        <v>374</v>
      </c>
      <c r="D103" t="s">
        <v>148</v>
      </c>
      <c r="E103" t="s">
        <v>641</v>
      </c>
      <c r="F103">
        <v>13984</v>
      </c>
      <c r="G103" t="str">
        <f>LOOKUP(B103,ΠΕΡΙΦΕΡΕΙΑ!$A$2:$A$14,ΠΕΡΙΦΕΡΕΙΑ!$B$2:$B$14)</f>
        <v>Μερική</v>
      </c>
      <c r="H103">
        <f t="shared" si="7"/>
        <v>102</v>
      </c>
      <c r="I103">
        <f t="shared" si="8"/>
        <v>102</v>
      </c>
      <c r="J103" t="str">
        <f t="shared" si="11"/>
        <v>ΑΝΔΡΑΒΙΔΑΣ – ΚΥΛΛΗΝΗΣ - ΔΥΤΙΚΗΣ ΕΛΛΑΔΑΣ</v>
      </c>
      <c r="K103" t="str">
        <f t="shared" si="9"/>
        <v>ΔΥΤΙΚΗΣ ΕΛΛΑΔΑΣ</v>
      </c>
      <c r="L103" t="str">
        <f t="shared" si="10"/>
        <v>ΑΝΔΡΑΒΙΔΑΣ – ΚΥΛΛΗΝΗΣ</v>
      </c>
      <c r="M103" s="65" t="s">
        <v>418</v>
      </c>
      <c r="N103" t="str">
        <f t="shared" si="12"/>
        <v/>
      </c>
      <c r="O10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4" spans="1:15" x14ac:dyDescent="0.3">
      <c r="A104" s="77">
        <v>103</v>
      </c>
      <c r="B104" t="s">
        <v>403</v>
      </c>
      <c r="C104" t="s">
        <v>374</v>
      </c>
      <c r="D104" t="s">
        <v>149</v>
      </c>
      <c r="E104" t="s">
        <v>642</v>
      </c>
      <c r="F104">
        <v>13982</v>
      </c>
      <c r="G104" t="str">
        <f>LOOKUP(B104,ΠΕΡΙΦΕΡΕΙΑ!$A$2:$A$14,ΠΕΡΙΦΕΡΕΙΑ!$B$2:$B$14)</f>
        <v>Μερική</v>
      </c>
      <c r="H104">
        <f t="shared" si="7"/>
        <v>103</v>
      </c>
      <c r="I104">
        <f t="shared" si="8"/>
        <v>103</v>
      </c>
      <c r="J104" t="str">
        <f t="shared" si="11"/>
        <v>ΑΝΔΡΙΤΣΑΙΝΑΣ – ΚΡΕΣΤΕΝΩΝ - ΔΥΤΙΚΗΣ ΕΛΛΑΔΑΣ</v>
      </c>
      <c r="K104" t="str">
        <f t="shared" si="9"/>
        <v>ΔΥΤΙΚΗΣ ΕΛΛΑΔΑΣ</v>
      </c>
      <c r="L104" t="str">
        <f t="shared" si="10"/>
        <v>ΑΝΔΡΙΤΣΑΙΝΑΣ – ΚΡΕΣΤΕΝΩΝ</v>
      </c>
      <c r="M104" s="65" t="s">
        <v>418</v>
      </c>
      <c r="N104" t="str">
        <f t="shared" si="12"/>
        <v/>
      </c>
      <c r="O10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5" spans="1:15" x14ac:dyDescent="0.3">
      <c r="A105" s="77">
        <v>104</v>
      </c>
      <c r="B105" t="s">
        <v>403</v>
      </c>
      <c r="C105" t="s">
        <v>374</v>
      </c>
      <c r="D105" t="s">
        <v>150</v>
      </c>
      <c r="E105" t="s">
        <v>643</v>
      </c>
      <c r="F105">
        <v>14000</v>
      </c>
      <c r="G105" t="str">
        <f>LOOKUP(B105,ΠΕΡΙΦΕΡΕΙΑ!$A$2:$A$14,ΠΕΡΙΦΕΡΕΙΑ!$B$2:$B$14)</f>
        <v>Μερική</v>
      </c>
      <c r="H105">
        <f t="shared" si="7"/>
        <v>104</v>
      </c>
      <c r="I105">
        <f t="shared" si="8"/>
        <v>104</v>
      </c>
      <c r="J105" t="str">
        <f t="shared" si="11"/>
        <v>ΑΡΧΑΙΑΣ ΟΛΥΜΠΙΑΣ - ΔΥΤΙΚΗΣ ΕΛΛΑΔΑΣ</v>
      </c>
      <c r="K105" t="str">
        <f t="shared" si="9"/>
        <v>ΔΥΤΙΚΗΣ ΕΛΛΑΔΑΣ</v>
      </c>
      <c r="L105" t="str">
        <f t="shared" si="10"/>
        <v>ΑΡΧΑΙΑΣ ΟΛΥΜΠΙΑΣ</v>
      </c>
      <c r="M105" s="65" t="s">
        <v>418</v>
      </c>
      <c r="N105" t="str">
        <f t="shared" si="12"/>
        <v/>
      </c>
      <c r="O10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6" spans="1:15" x14ac:dyDescent="0.3">
      <c r="A106" s="77">
        <v>105</v>
      </c>
      <c r="B106" t="s">
        <v>403</v>
      </c>
      <c r="C106" t="s">
        <v>373</v>
      </c>
      <c r="D106" t="s">
        <v>144</v>
      </c>
      <c r="E106" t="s">
        <v>644</v>
      </c>
      <c r="F106">
        <v>14072</v>
      </c>
      <c r="G106" t="str">
        <f>LOOKUP(B106,ΠΕΡΙΦΕΡΕΙΑ!$A$2:$A$14,ΠΕΡΙΦΕΡΕΙΑ!$B$2:$B$14)</f>
        <v>Μερική</v>
      </c>
      <c r="H106">
        <f t="shared" si="7"/>
        <v>105</v>
      </c>
      <c r="I106">
        <f t="shared" si="8"/>
        <v>105</v>
      </c>
      <c r="J106" t="str">
        <f t="shared" si="11"/>
        <v>ΔΥΤΙΚΗΣ ΑΧΑΪΑΣ - ΔΥΤΙΚΗΣ ΕΛΛΑΔΑΣ</v>
      </c>
      <c r="K106" t="str">
        <f t="shared" si="9"/>
        <v>ΔΥΤΙΚΗΣ ΕΛΛΑΔΑΣ</v>
      </c>
      <c r="L106" t="str">
        <f t="shared" si="10"/>
        <v>ΔΥΤΙΚΗΣ ΑΧΑΪΑΣ</v>
      </c>
      <c r="M106" s="65" t="s">
        <v>417</v>
      </c>
      <c r="N106" t="str">
        <f t="shared" si="12"/>
        <v xml:space="preserve">ΔΥΤΙΚΗΣ ΕΛΛΑΔΑΣ - ΔΥΤΙΚΗΣ ΑΧΑΪΑΣ, </v>
      </c>
      <c r="O10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</v>
      </c>
    </row>
    <row r="107" spans="1:15" x14ac:dyDescent="0.3">
      <c r="A107" s="77">
        <v>106</v>
      </c>
      <c r="B107" t="s">
        <v>403</v>
      </c>
      <c r="C107" t="s">
        <v>373</v>
      </c>
      <c r="D107" t="s">
        <v>145</v>
      </c>
      <c r="E107" t="s">
        <v>645</v>
      </c>
      <c r="F107">
        <v>14098</v>
      </c>
      <c r="G107" t="str">
        <f>LOOKUP(B107,ΠΕΡΙΦΕΡΕΙΑ!$A$2:$A$14,ΠΕΡΙΦΕΡΕΙΑ!$B$2:$B$14)</f>
        <v>Μερική</v>
      </c>
      <c r="H107">
        <f t="shared" si="7"/>
        <v>106</v>
      </c>
      <c r="I107">
        <f t="shared" si="8"/>
        <v>106</v>
      </c>
      <c r="J107" t="str">
        <f t="shared" si="11"/>
        <v>ΕΡΥΜΑΝΘΟΥ - ΔΥΤΙΚΗΣ ΕΛΛΑΔΑΣ</v>
      </c>
      <c r="K107" t="str">
        <f t="shared" si="9"/>
        <v>ΔΥΤΙΚΗΣ ΕΛΛΑΔΑΣ</v>
      </c>
      <c r="L107" t="str">
        <f t="shared" si="10"/>
        <v>ΕΡΥΜΑΝΘΟΥ</v>
      </c>
      <c r="M107" s="65" t="s">
        <v>417</v>
      </c>
      <c r="N107" t="str">
        <f t="shared" si="12"/>
        <v xml:space="preserve">ΔΥΤΙΚΗΣ ΕΛΛΑΔΑΣ - ΕΡΥΜΑΝΘΟΥ, </v>
      </c>
      <c r="O10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</v>
      </c>
    </row>
    <row r="108" spans="1:15" x14ac:dyDescent="0.3">
      <c r="A108" s="77">
        <v>107</v>
      </c>
      <c r="B108" t="s">
        <v>403</v>
      </c>
      <c r="C108" t="s">
        <v>374</v>
      </c>
      <c r="D108" t="s">
        <v>151</v>
      </c>
      <c r="E108" t="s">
        <v>646</v>
      </c>
      <c r="F108">
        <v>14110</v>
      </c>
      <c r="G108" t="str">
        <f>LOOKUP(B108,ΠΕΡΙΦΕΡΕΙΑ!$A$2:$A$14,ΠΕΡΙΦΕΡΕΙΑ!$B$2:$B$14)</f>
        <v>Μερική</v>
      </c>
      <c r="H108">
        <f t="shared" si="7"/>
        <v>107</v>
      </c>
      <c r="I108">
        <f t="shared" si="8"/>
        <v>107</v>
      </c>
      <c r="J108" t="str">
        <f t="shared" si="11"/>
        <v>ΖΑΧΑΡΩΣ - ΔΥΤΙΚΗΣ ΕΛΛΑΔΑΣ</v>
      </c>
      <c r="K108" t="str">
        <f t="shared" si="9"/>
        <v>ΔΥΤΙΚΗΣ ΕΛΛΑΔΑΣ</v>
      </c>
      <c r="L108" t="str">
        <f t="shared" si="10"/>
        <v>ΖΑΧΑΡΩΣ</v>
      </c>
      <c r="M108" s="65" t="s">
        <v>417</v>
      </c>
      <c r="N108" t="str">
        <f t="shared" si="12"/>
        <v xml:space="preserve">ΔΥΤΙΚΗΣ ΕΛΛΑΔΑΣ - ΖΑΧΑΡΩΣ, </v>
      </c>
      <c r="O10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</v>
      </c>
    </row>
    <row r="109" spans="1:15" x14ac:dyDescent="0.3">
      <c r="A109" s="77">
        <v>108</v>
      </c>
      <c r="B109" t="s">
        <v>403</v>
      </c>
      <c r="C109" t="s">
        <v>374</v>
      </c>
      <c r="D109" t="s">
        <v>152</v>
      </c>
      <c r="E109" t="s">
        <v>647</v>
      </c>
      <c r="F109">
        <v>14118</v>
      </c>
      <c r="G109" t="str">
        <f>LOOKUP(B109,ΠΕΡΙΦΕΡΕΙΑ!$A$2:$A$14,ΠΕΡΙΦΕΡΕΙΑ!$B$2:$B$14)</f>
        <v>Μερική</v>
      </c>
      <c r="H109">
        <f t="shared" si="7"/>
        <v>108</v>
      </c>
      <c r="I109">
        <f t="shared" si="8"/>
        <v>108</v>
      </c>
      <c r="J109" t="str">
        <f t="shared" si="11"/>
        <v>ΗΛΙΔΑΣ - ΔΥΤΙΚΗΣ ΕΛΛΑΔΑΣ</v>
      </c>
      <c r="K109" t="str">
        <f t="shared" si="9"/>
        <v>ΔΥΤΙΚΗΣ ΕΛΛΑΔΑΣ</v>
      </c>
      <c r="L109" t="str">
        <f t="shared" si="10"/>
        <v>ΗΛΙΔΑΣ</v>
      </c>
      <c r="M109" s="65" t="s">
        <v>417</v>
      </c>
      <c r="N109" t="str">
        <f t="shared" si="12"/>
        <v xml:space="preserve">ΔΥΤΙΚΗΣ ΕΛΛΑΔΑΣ - ΗΛΙΔΑΣ, </v>
      </c>
      <c r="O10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</v>
      </c>
    </row>
    <row r="110" spans="1:15" x14ac:dyDescent="0.3">
      <c r="A110" s="77">
        <v>109</v>
      </c>
      <c r="B110" t="s">
        <v>403</v>
      </c>
      <c r="C110" t="s">
        <v>372</v>
      </c>
      <c r="D110" t="s">
        <v>139</v>
      </c>
      <c r="E110" t="s">
        <v>648</v>
      </c>
      <c r="F110">
        <v>14136</v>
      </c>
      <c r="G110" t="str">
        <f>LOOKUP(B110,ΠΕΡΙΦΕΡΕΙΑ!$A$2:$A$14,ΠΕΡΙΦΕΡΕΙΑ!$B$2:$B$14)</f>
        <v>Μερική</v>
      </c>
      <c r="H110">
        <f t="shared" si="7"/>
        <v>109</v>
      </c>
      <c r="I110">
        <f t="shared" si="8"/>
        <v>109</v>
      </c>
      <c r="J110" t="str">
        <f t="shared" si="11"/>
        <v>ΘΕΡΜΟΥ - ΔΥΤΙΚΗΣ ΕΛΛΑΔΑΣ</v>
      </c>
      <c r="K110" t="str">
        <f t="shared" si="9"/>
        <v>ΔΥΤΙΚΗΣ ΕΛΛΑΔΑΣ</v>
      </c>
      <c r="L110" t="str">
        <f t="shared" si="10"/>
        <v>ΘΕΡΜΟΥ</v>
      </c>
      <c r="M110" s="65" t="s">
        <v>417</v>
      </c>
      <c r="N110" t="str">
        <f t="shared" si="12"/>
        <v xml:space="preserve">ΔΥΤΙΚΗΣ ΕΛΛΑΔΑΣ - ΘΕΡΜΟΥ, </v>
      </c>
      <c r="O11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</v>
      </c>
    </row>
    <row r="111" spans="1:15" x14ac:dyDescent="0.3">
      <c r="A111" s="77">
        <v>110</v>
      </c>
      <c r="B111" t="s">
        <v>403</v>
      </c>
      <c r="C111" t="s">
        <v>372</v>
      </c>
      <c r="D111" t="s">
        <v>140</v>
      </c>
      <c r="E111" t="s">
        <v>649</v>
      </c>
      <c r="F111">
        <v>14142</v>
      </c>
      <c r="G111" t="str">
        <f>LOOKUP(B111,ΠΕΡΙΦΕΡΕΙΑ!$A$2:$A$14,ΠΕΡΙΦΕΡΕΙΑ!$B$2:$B$14)</f>
        <v>Μερική</v>
      </c>
      <c r="H111">
        <f t="shared" si="7"/>
        <v>110</v>
      </c>
      <c r="I111">
        <f t="shared" si="8"/>
        <v>110</v>
      </c>
      <c r="J111" t="str">
        <f t="shared" si="11"/>
        <v>ΙΕΡΑΣ ΠΟΛΗΣ ΜΕΣΟΛΟΓΓΙΟΥ - ΔΥΤΙΚΗΣ ΕΛΛΑΔΑΣ</v>
      </c>
      <c r="K111" t="str">
        <f t="shared" si="9"/>
        <v>ΔΥΤΙΚΗΣ ΕΛΛΑΔΑΣ</v>
      </c>
      <c r="L111" t="str">
        <f t="shared" si="10"/>
        <v>ΙΕΡΑΣ ΠΟΛΗΣ ΜΕΣΟΛΟΓΓΙΟΥ</v>
      </c>
      <c r="M111" s="65" t="s">
        <v>417</v>
      </c>
      <c r="N111" t="str">
        <f t="shared" si="12"/>
        <v xml:space="preserve">ΔΥΤΙΚΗΣ ΕΛΛΑΔΑΣ - ΙΕΡΑΣ ΠΟΛΗΣ ΜΕΣΟΛΟΓΓΙΟΥ, </v>
      </c>
      <c r="O11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</v>
      </c>
    </row>
    <row r="112" spans="1:15" x14ac:dyDescent="0.3">
      <c r="A112" s="77">
        <v>111</v>
      </c>
      <c r="B112" t="s">
        <v>403</v>
      </c>
      <c r="C112" t="s">
        <v>373</v>
      </c>
      <c r="D112" t="s">
        <v>146</v>
      </c>
      <c r="E112" t="s">
        <v>650</v>
      </c>
      <c r="F112">
        <v>14174</v>
      </c>
      <c r="G112" t="str">
        <f>LOOKUP(B112,ΠΕΡΙΦΕΡΕΙΑ!$A$2:$A$14,ΠΕΡΙΦΕΡΕΙΑ!$B$2:$B$14)</f>
        <v>Μερική</v>
      </c>
      <c r="H112">
        <f t="shared" si="7"/>
        <v>111</v>
      </c>
      <c r="I112">
        <f t="shared" si="8"/>
        <v>111</v>
      </c>
      <c r="J112" t="str">
        <f t="shared" si="11"/>
        <v>ΚΑΛΑΒΡΥΤΩΝ - ΔΥΤΙΚΗΣ ΕΛΛΑΔΑΣ</v>
      </c>
      <c r="K112" t="str">
        <f t="shared" si="9"/>
        <v>ΔΥΤΙΚΗΣ ΕΛΛΑΔΑΣ</v>
      </c>
      <c r="L112" t="str">
        <f t="shared" si="10"/>
        <v>ΚΑΛΑΒΡΥΤΩΝ</v>
      </c>
      <c r="M112" s="65" t="s">
        <v>417</v>
      </c>
      <c r="N112" t="str">
        <f t="shared" si="12"/>
        <v xml:space="preserve">ΔΥΤΙΚΗΣ ΕΛΛΑΔΑΣ - ΚΑΛΑΒΡΥΤΩΝ, </v>
      </c>
      <c r="O11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</v>
      </c>
    </row>
    <row r="113" spans="1:15" x14ac:dyDescent="0.3">
      <c r="A113" s="77">
        <v>112</v>
      </c>
      <c r="B113" t="s">
        <v>403</v>
      </c>
      <c r="C113" t="s">
        <v>372</v>
      </c>
      <c r="D113" t="s">
        <v>141</v>
      </c>
      <c r="E113" t="s">
        <v>651</v>
      </c>
      <c r="F113">
        <v>14312</v>
      </c>
      <c r="G113" t="str">
        <f>LOOKUP(B113,ΠΕΡΙΦΕΡΕΙΑ!$A$2:$A$14,ΠΕΡΙΦΕΡΕΙΑ!$B$2:$B$14)</f>
        <v>Μερική</v>
      </c>
      <c r="H113">
        <f t="shared" si="7"/>
        <v>112</v>
      </c>
      <c r="I113">
        <f t="shared" si="8"/>
        <v>112</v>
      </c>
      <c r="J113" t="str">
        <f t="shared" si="11"/>
        <v>ΝΑΥΠΑΚΤΙΑΣ - ΔΥΤΙΚΗΣ ΕΛΛΑΔΑΣ</v>
      </c>
      <c r="K113" t="str">
        <f t="shared" si="9"/>
        <v>ΔΥΤΙΚΗΣ ΕΛΛΑΔΑΣ</v>
      </c>
      <c r="L113" t="str">
        <f t="shared" si="10"/>
        <v>ΝΑΥΠΑΚΤΙΑΣ</v>
      </c>
      <c r="M113" s="65" t="s">
        <v>417</v>
      </c>
      <c r="N113" t="str">
        <f t="shared" si="12"/>
        <v xml:space="preserve">ΔΥΤΙΚΗΣ ΕΛΛΑΔΑΣ - ΝΑΥΠΑΚΤΙΑΣ, </v>
      </c>
      <c r="O11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</v>
      </c>
    </row>
    <row r="114" spans="1:15" x14ac:dyDescent="0.3">
      <c r="A114" s="77">
        <v>113</v>
      </c>
      <c r="B114" t="s">
        <v>403</v>
      </c>
      <c r="C114" t="s">
        <v>372</v>
      </c>
      <c r="D114" t="s">
        <v>142</v>
      </c>
      <c r="E114" t="s">
        <v>652</v>
      </c>
      <c r="F114">
        <v>14344</v>
      </c>
      <c r="G114" t="str">
        <f>LOOKUP(B114,ΠΕΡΙΦΕΡΕΙΑ!$A$2:$A$14,ΠΕΡΙΦΕΡΕΙΑ!$B$2:$B$14)</f>
        <v>Μερική</v>
      </c>
      <c r="H114">
        <f t="shared" si="7"/>
        <v>113</v>
      </c>
      <c r="I114">
        <f t="shared" si="8"/>
        <v>113</v>
      </c>
      <c r="J114" t="str">
        <f t="shared" si="11"/>
        <v>ΞΗΡΟΜΕΡΟΥ - ΔΥΤΙΚΗΣ ΕΛΛΑΔΑΣ</v>
      </c>
      <c r="K114" t="str">
        <f t="shared" si="9"/>
        <v>ΔΥΤΙΚΗΣ ΕΛΛΑΔΑΣ</v>
      </c>
      <c r="L114" t="str">
        <f t="shared" si="10"/>
        <v>ΞΗΡΟΜΕΡΟΥ</v>
      </c>
      <c r="M114" s="65" t="s">
        <v>417</v>
      </c>
      <c r="N114" t="str">
        <f t="shared" si="12"/>
        <v xml:space="preserve">ΔΥΤΙΚΗΣ ΕΛΛΑΔΑΣ - ΞΗΡΟΜΕΡΟΥ, </v>
      </c>
      <c r="O11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</v>
      </c>
    </row>
    <row r="115" spans="1:15" x14ac:dyDescent="0.3">
      <c r="A115" s="77">
        <v>114</v>
      </c>
      <c r="B115" t="s">
        <v>403</v>
      </c>
      <c r="C115" t="s">
        <v>373</v>
      </c>
      <c r="D115" t="s">
        <v>147</v>
      </c>
      <c r="E115" t="s">
        <v>653</v>
      </c>
      <c r="F115">
        <v>14366</v>
      </c>
      <c r="G115" t="str">
        <f>LOOKUP(B115,ΠΕΡΙΦΕΡΕΙΑ!$A$2:$A$14,ΠΕΡΙΦΕΡΕΙΑ!$B$2:$B$14)</f>
        <v>Μερική</v>
      </c>
      <c r="H115">
        <f t="shared" si="7"/>
        <v>114</v>
      </c>
      <c r="I115">
        <f t="shared" si="8"/>
        <v>114</v>
      </c>
      <c r="J115" t="str">
        <f t="shared" si="11"/>
        <v>ΠΑΤΡΕΩΝ - ΔΥΤΙΚΗΣ ΕΛΛΑΔΑΣ</v>
      </c>
      <c r="K115" t="str">
        <f t="shared" si="9"/>
        <v>ΔΥΤΙΚΗΣ ΕΛΛΑΔΑΣ</v>
      </c>
      <c r="L115" t="str">
        <f t="shared" si="10"/>
        <v>ΠΑΤΡΕΩΝ</v>
      </c>
      <c r="M115" s="65" t="s">
        <v>417</v>
      </c>
      <c r="N115" t="str">
        <f t="shared" si="12"/>
        <v xml:space="preserve">ΔΥΤΙΚΗΣ ΕΛΛΑΔΑΣ - ΠΑΤΡΕΩΝ, </v>
      </c>
      <c r="O11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</v>
      </c>
    </row>
    <row r="116" spans="1:15" x14ac:dyDescent="0.3">
      <c r="A116" s="77">
        <v>115</v>
      </c>
      <c r="B116" t="s">
        <v>403</v>
      </c>
      <c r="C116" t="s">
        <v>374</v>
      </c>
      <c r="D116" t="s">
        <v>153</v>
      </c>
      <c r="E116" t="s">
        <v>654</v>
      </c>
      <c r="F116">
        <v>14410</v>
      </c>
      <c r="G116" t="str">
        <f>LOOKUP(B116,ΠΕΡΙΦΕΡΕΙΑ!$A$2:$A$14,ΠΕΡΙΦΕΡΕΙΑ!$B$2:$B$14)</f>
        <v>Μερική</v>
      </c>
      <c r="H116">
        <f t="shared" si="7"/>
        <v>115</v>
      </c>
      <c r="I116">
        <f t="shared" si="8"/>
        <v>115</v>
      </c>
      <c r="J116" t="str">
        <f t="shared" si="11"/>
        <v>ΠΗΝΕΙΟΥ - ΔΥΤΙΚΗΣ ΕΛΛΑΔΑΣ</v>
      </c>
      <c r="K116" t="str">
        <f t="shared" si="9"/>
        <v>ΔΥΤΙΚΗΣ ΕΛΛΑΔΑΣ</v>
      </c>
      <c r="L116" t="str">
        <f t="shared" si="10"/>
        <v>ΠΗΝΕΙΟΥ</v>
      </c>
      <c r="M116" s="65" t="s">
        <v>418</v>
      </c>
      <c r="N116" t="str">
        <f t="shared" si="12"/>
        <v/>
      </c>
      <c r="O11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</v>
      </c>
    </row>
    <row r="117" spans="1:15" x14ac:dyDescent="0.3">
      <c r="A117" s="77">
        <v>116</v>
      </c>
      <c r="B117" t="s">
        <v>403</v>
      </c>
      <c r="C117" t="s">
        <v>374</v>
      </c>
      <c r="D117" t="s">
        <v>154</v>
      </c>
      <c r="E117" t="s">
        <v>655</v>
      </c>
      <c r="F117">
        <v>14376</v>
      </c>
      <c r="G117" t="str">
        <f>LOOKUP(B117,ΠΕΡΙΦΕΡΕΙΑ!$A$2:$A$14,ΠΕΡΙΦΕΡΕΙΑ!$B$2:$B$14)</f>
        <v>Μερική</v>
      </c>
      <c r="H117">
        <f t="shared" si="7"/>
        <v>116</v>
      </c>
      <c r="I117">
        <f t="shared" si="8"/>
        <v>116</v>
      </c>
      <c r="J117" t="str">
        <f t="shared" si="11"/>
        <v>ΠΥΡΓΟΥ - ΔΥΤΙΚΗΣ ΕΛΛΑΔΑΣ</v>
      </c>
      <c r="K117" t="str">
        <f t="shared" si="9"/>
        <v>ΔΥΤΙΚΗΣ ΕΛΛΑΔΑΣ</v>
      </c>
      <c r="L117" t="str">
        <f t="shared" si="10"/>
        <v>ΠΥΡΓΟΥ</v>
      </c>
      <c r="M117" s="65" t="s">
        <v>417</v>
      </c>
      <c r="N117" t="str">
        <f t="shared" si="12"/>
        <v xml:space="preserve">ΔΥΤΙΚΗΣ ΕΛΛΑΔΑΣ - ΠΥΡΓΟΥ, </v>
      </c>
      <c r="O11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</v>
      </c>
    </row>
    <row r="118" spans="1:15" x14ac:dyDescent="0.3">
      <c r="A118" s="77">
        <v>117</v>
      </c>
      <c r="B118" t="s">
        <v>404</v>
      </c>
      <c r="C118" t="s">
        <v>166</v>
      </c>
      <c r="D118" t="s">
        <v>164</v>
      </c>
      <c r="E118" t="s">
        <v>656</v>
      </c>
      <c r="F118">
        <v>13970</v>
      </c>
      <c r="G118" t="str">
        <f>LOOKUP(B118,ΠΕΡΙΦΕΡΕΙΑ!$A$2:$A$14,ΠΕΡΙΦΕΡΕΙΑ!$B$2:$B$14)</f>
        <v>Μερική</v>
      </c>
      <c r="H118">
        <f t="shared" si="7"/>
        <v>117</v>
      </c>
      <c r="I118">
        <f t="shared" si="8"/>
        <v>117</v>
      </c>
      <c r="J118" t="str">
        <f t="shared" si="11"/>
        <v>ΑΜΥΝΤΑΙΟΥ - ΔΥΤΙΚΗΣ ΜΑΚΕΔΟΝΙΑΣ</v>
      </c>
      <c r="K118" t="str">
        <f t="shared" si="9"/>
        <v>ΔΥΤΙΚΗΣ ΜΑΚΕΔΟΝΙΑΣ</v>
      </c>
      <c r="L118" t="str">
        <f t="shared" si="10"/>
        <v>ΑΜΥΝΤΑΙΟΥ</v>
      </c>
      <c r="M118" s="65" t="s">
        <v>417</v>
      </c>
      <c r="N118" t="str">
        <f t="shared" si="12"/>
        <v xml:space="preserve">ΔΥΤΙΚΗΣ ΜΑΚΕΔΟΝΙΑΣ - ΑΜΥΝΤΑΙΟΥ, </v>
      </c>
      <c r="O11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</v>
      </c>
    </row>
    <row r="119" spans="1:15" x14ac:dyDescent="0.3">
      <c r="A119" s="77">
        <v>118</v>
      </c>
      <c r="B119" t="s">
        <v>404</v>
      </c>
      <c r="C119" t="s">
        <v>162</v>
      </c>
      <c r="D119" t="s">
        <v>160</v>
      </c>
      <c r="E119" t="s">
        <v>657</v>
      </c>
      <c r="F119">
        <v>14028</v>
      </c>
      <c r="G119" t="str">
        <f>LOOKUP(B119,ΠΕΡΙΦΕΡΕΙΑ!$A$2:$A$14,ΠΕΡΙΦΕΡΕΙΑ!$B$2:$B$14)</f>
        <v>Μερική</v>
      </c>
      <c r="H119">
        <f t="shared" si="7"/>
        <v>118</v>
      </c>
      <c r="I119">
        <f t="shared" si="8"/>
        <v>118</v>
      </c>
      <c r="J119" t="str">
        <f t="shared" si="11"/>
        <v>ΒΟΪΟΥ - ΔΥΤΙΚΗΣ ΜΑΚΕΔΟΝΙΑΣ</v>
      </c>
      <c r="K119" t="str">
        <f t="shared" si="9"/>
        <v>ΔΥΤΙΚΗΣ ΜΑΚΕΔΟΝΙΑΣ</v>
      </c>
      <c r="L119" t="str">
        <f t="shared" si="10"/>
        <v>ΒΟΪΟΥ</v>
      </c>
      <c r="M119" s="65" t="s">
        <v>417</v>
      </c>
      <c r="N119" t="str">
        <f t="shared" si="12"/>
        <v xml:space="preserve">ΔΥΤΙΚΗΣ ΜΑΚΕΔΟΝΙΑΣ - ΒΟΪΟΥ, </v>
      </c>
      <c r="O11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</v>
      </c>
    </row>
    <row r="120" spans="1:15" x14ac:dyDescent="0.3">
      <c r="A120" s="77">
        <v>119</v>
      </c>
      <c r="B120" t="s">
        <v>404</v>
      </c>
      <c r="C120" t="s">
        <v>155</v>
      </c>
      <c r="D120" t="s">
        <v>155</v>
      </c>
      <c r="E120" t="s">
        <v>658</v>
      </c>
      <c r="F120">
        <v>14038</v>
      </c>
      <c r="G120" t="str">
        <f>LOOKUP(B120,ΠΕΡΙΦΕΡΕΙΑ!$A$2:$A$14,ΠΕΡΙΦΕΡΕΙΑ!$B$2:$B$14)</f>
        <v>Μερική</v>
      </c>
      <c r="H120">
        <f t="shared" si="7"/>
        <v>119</v>
      </c>
      <c r="I120">
        <f t="shared" si="8"/>
        <v>119</v>
      </c>
      <c r="J120" t="str">
        <f t="shared" si="11"/>
        <v>ΓΡΕΒΕΝΩΝ - ΔΥΤΙΚΗΣ ΜΑΚΕΔΟΝΙΑΣ</v>
      </c>
      <c r="K120" t="str">
        <f t="shared" si="9"/>
        <v>ΔΥΤΙΚΗΣ ΜΑΚΕΔΟΝΙΑΣ</v>
      </c>
      <c r="L120" t="str">
        <f t="shared" si="10"/>
        <v>ΓΡΕΒΕΝΩΝ</v>
      </c>
      <c r="M120" s="65" t="s">
        <v>417</v>
      </c>
      <c r="N120" t="str">
        <f t="shared" si="12"/>
        <v xml:space="preserve">ΔΥΤΙΚΗΣ ΜΑΚΕΔΟΝΙΑΣ - ΓΡΕΒΕΝΩΝ, </v>
      </c>
      <c r="O12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</v>
      </c>
    </row>
    <row r="121" spans="1:15" x14ac:dyDescent="0.3">
      <c r="A121" s="77">
        <v>120</v>
      </c>
      <c r="B121" t="s">
        <v>404</v>
      </c>
      <c r="C121" t="s">
        <v>155</v>
      </c>
      <c r="D121" t="s">
        <v>156</v>
      </c>
      <c r="E121" t="s">
        <v>659</v>
      </c>
      <c r="F121">
        <v>14054</v>
      </c>
      <c r="G121" t="str">
        <f>LOOKUP(B121,ΠΕΡΙΦΕΡΕΙΑ!$A$2:$A$14,ΠΕΡΙΦΕΡΕΙΑ!$B$2:$B$14)</f>
        <v>Μερική</v>
      </c>
      <c r="H121">
        <f t="shared" si="7"/>
        <v>120</v>
      </c>
      <c r="I121">
        <f t="shared" si="8"/>
        <v>120</v>
      </c>
      <c r="J121" t="str">
        <f t="shared" si="11"/>
        <v>ΔΕΣΚΑΤΗΣ - ΔΥΤΙΚΗΣ ΜΑΚΕΔΟΝΙΑΣ</v>
      </c>
      <c r="K121" t="str">
        <f t="shared" si="9"/>
        <v>ΔΥΤΙΚΗΣ ΜΑΚΕΔΟΝΙΑΣ</v>
      </c>
      <c r="L121" t="str">
        <f t="shared" si="10"/>
        <v>ΔΕΣΚΑΤΗΣ</v>
      </c>
      <c r="M121" s="65" t="s">
        <v>417</v>
      </c>
      <c r="N121" t="str">
        <f t="shared" si="12"/>
        <v xml:space="preserve">ΔΥΤΙΚΗΣ ΜΑΚΕΔΟΝΙΑΣ - ΔΕΣΚΑΤΗΣ, </v>
      </c>
      <c r="O12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</v>
      </c>
    </row>
    <row r="122" spans="1:15" x14ac:dyDescent="0.3">
      <c r="A122" s="77">
        <v>121</v>
      </c>
      <c r="B122" t="s">
        <v>404</v>
      </c>
      <c r="C122" t="s">
        <v>162</v>
      </c>
      <c r="D122" t="s">
        <v>161</v>
      </c>
      <c r="E122" t="s">
        <v>660</v>
      </c>
      <c r="F122">
        <v>14090</v>
      </c>
      <c r="G122" t="str">
        <f>LOOKUP(B122,ΠΕΡΙΦΕΡΕΙΑ!$A$2:$A$14,ΠΕΡΙΦΕΡΕΙΑ!$B$2:$B$14)</f>
        <v>Μερική</v>
      </c>
      <c r="H122">
        <f t="shared" si="7"/>
        <v>121</v>
      </c>
      <c r="I122">
        <f t="shared" si="8"/>
        <v>121</v>
      </c>
      <c r="J122" t="str">
        <f t="shared" si="11"/>
        <v>ΕΟΡΔΑΙΑΣ - ΔΥΤΙΚΗΣ ΜΑΚΕΔΟΝΙΑΣ</v>
      </c>
      <c r="K122" t="str">
        <f t="shared" si="9"/>
        <v>ΔΥΤΙΚΗΣ ΜΑΚΕΔΟΝΙΑΣ</v>
      </c>
      <c r="L122" t="str">
        <f t="shared" si="10"/>
        <v>ΕΟΡΔΑΙΑΣ</v>
      </c>
      <c r="M122" s="65" t="s">
        <v>417</v>
      </c>
      <c r="N122" t="str">
        <f t="shared" si="12"/>
        <v xml:space="preserve">ΔΥΤΙΚΗΣ ΜΑΚΕΔΟΝΙΑΣ - ΕΟΡΔΑΙΑΣ, </v>
      </c>
      <c r="O12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</v>
      </c>
    </row>
    <row r="123" spans="1:15" x14ac:dyDescent="0.3">
      <c r="A123" s="77">
        <v>122</v>
      </c>
      <c r="B123" t="s">
        <v>404</v>
      </c>
      <c r="C123" t="s">
        <v>157</v>
      </c>
      <c r="D123" t="s">
        <v>157</v>
      </c>
      <c r="E123" t="s">
        <v>661</v>
      </c>
      <c r="F123">
        <v>14160</v>
      </c>
      <c r="G123" t="str">
        <f>LOOKUP(B123,ΠΕΡΙΦΕΡΕΙΑ!$A$2:$A$14,ΠΕΡΙΦΕΡΕΙΑ!$B$2:$B$14)</f>
        <v>Μερική</v>
      </c>
      <c r="H123">
        <f t="shared" si="7"/>
        <v>122</v>
      </c>
      <c r="I123">
        <f t="shared" si="8"/>
        <v>122</v>
      </c>
      <c r="J123" t="str">
        <f t="shared" si="11"/>
        <v>ΚΑΣΤΟΡΙΑΣ - ΔΥΤΙΚΗΣ ΜΑΚΕΔΟΝΙΑΣ</v>
      </c>
      <c r="K123" t="str">
        <f t="shared" si="9"/>
        <v>ΔΥΤΙΚΗΣ ΜΑΚΕΔΟΝΙΑΣ</v>
      </c>
      <c r="L123" t="str">
        <f t="shared" si="10"/>
        <v>ΚΑΣΤΟΡΙΑΣ</v>
      </c>
      <c r="M123" s="65" t="s">
        <v>417</v>
      </c>
      <c r="N123" t="str">
        <f t="shared" si="12"/>
        <v xml:space="preserve">ΔΥΤΙΚΗΣ ΜΑΚΕΔΟΝΙΑΣ - ΚΑΣΤΟΡΙΑΣ, </v>
      </c>
      <c r="O12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</v>
      </c>
    </row>
    <row r="124" spans="1:15" x14ac:dyDescent="0.3">
      <c r="A124" s="77">
        <v>123</v>
      </c>
      <c r="B124" t="s">
        <v>404</v>
      </c>
      <c r="C124" t="s">
        <v>162</v>
      </c>
      <c r="D124" t="s">
        <v>162</v>
      </c>
      <c r="E124" t="s">
        <v>662</v>
      </c>
      <c r="F124">
        <v>14218</v>
      </c>
      <c r="G124" t="str">
        <f>LOOKUP(B124,ΠΕΡΙΦΕΡΕΙΑ!$A$2:$A$14,ΠΕΡΙΦΕΡΕΙΑ!$B$2:$B$14)</f>
        <v>Μερική</v>
      </c>
      <c r="H124">
        <f t="shared" si="7"/>
        <v>123</v>
      </c>
      <c r="I124">
        <f t="shared" si="8"/>
        <v>123</v>
      </c>
      <c r="J124" t="str">
        <f t="shared" si="11"/>
        <v>ΚΟΖΑΝΗΣ - ΔΥΤΙΚΗΣ ΜΑΚΕΔΟΝΙΑΣ</v>
      </c>
      <c r="K124" t="str">
        <f t="shared" si="9"/>
        <v>ΔΥΤΙΚΗΣ ΜΑΚΕΔΟΝΙΑΣ</v>
      </c>
      <c r="L124" t="str">
        <f t="shared" si="10"/>
        <v>ΚΟΖΑΝΗΣ</v>
      </c>
      <c r="M124" s="65" t="s">
        <v>417</v>
      </c>
      <c r="N124" t="str">
        <f t="shared" si="12"/>
        <v xml:space="preserve">ΔΥΤΙΚΗΣ ΜΑΚΕΔΟΝΙΑΣ - ΚΟΖΑΝΗΣ, </v>
      </c>
      <c r="O12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</v>
      </c>
    </row>
    <row r="125" spans="1:15" x14ac:dyDescent="0.3">
      <c r="A125" s="77">
        <v>124</v>
      </c>
      <c r="B125" t="s">
        <v>404</v>
      </c>
      <c r="C125" t="s">
        <v>157</v>
      </c>
      <c r="D125" t="s">
        <v>158</v>
      </c>
      <c r="E125" t="s">
        <v>663</v>
      </c>
      <c r="F125">
        <v>14324</v>
      </c>
      <c r="G125" t="str">
        <f>LOOKUP(B125,ΠΕΡΙΦΕΡΕΙΑ!$A$2:$A$14,ΠΕΡΙΦΕΡΕΙΑ!$B$2:$B$14)</f>
        <v>Μερική</v>
      </c>
      <c r="H125">
        <f t="shared" si="7"/>
        <v>124</v>
      </c>
      <c r="I125">
        <f t="shared" si="8"/>
        <v>124</v>
      </c>
      <c r="J125" t="str">
        <f t="shared" si="11"/>
        <v>ΝΕΣΤΟΡΙΟΥ - ΔΥΤΙΚΗΣ ΜΑΚΕΔΟΝΙΑΣ</v>
      </c>
      <c r="K125" t="str">
        <f t="shared" si="9"/>
        <v>ΔΥΤΙΚΗΣ ΜΑΚΕΔΟΝΙΑΣ</v>
      </c>
      <c r="L125" t="str">
        <f t="shared" si="10"/>
        <v>ΝΕΣΤΟΡΙΟΥ</v>
      </c>
      <c r="M125" s="65" t="s">
        <v>417</v>
      </c>
      <c r="N125" t="str">
        <f t="shared" si="12"/>
        <v xml:space="preserve">ΔΥΤΙΚΗΣ ΜΑΚΕΔΟΝΙΑΣ - ΝΕΣΤΟΡΙΟΥ, </v>
      </c>
      <c r="O12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</v>
      </c>
    </row>
    <row r="126" spans="1:15" x14ac:dyDescent="0.3">
      <c r="A126" s="77">
        <v>125</v>
      </c>
      <c r="B126" t="s">
        <v>404</v>
      </c>
      <c r="C126" t="s">
        <v>157</v>
      </c>
      <c r="D126" t="s">
        <v>159</v>
      </c>
      <c r="E126" t="s">
        <v>664</v>
      </c>
      <c r="F126">
        <v>14354</v>
      </c>
      <c r="G126" t="str">
        <f>LOOKUP(B126,ΠΕΡΙΦΕΡΕΙΑ!$A$2:$A$14,ΠΕΡΙΦΕΡΕΙΑ!$B$2:$B$14)</f>
        <v>Μερική</v>
      </c>
      <c r="H126">
        <f t="shared" si="7"/>
        <v>125</v>
      </c>
      <c r="I126">
        <f t="shared" si="8"/>
        <v>125</v>
      </c>
      <c r="J126" t="str">
        <f t="shared" si="11"/>
        <v>ΟΡΕΣΤΙΔΟΣ - ΔΥΤΙΚΗΣ ΜΑΚΕΔΟΝΙΑΣ</v>
      </c>
      <c r="K126" t="str">
        <f t="shared" si="9"/>
        <v>ΔΥΤΙΚΗΣ ΜΑΚΕΔΟΝΙΑΣ</v>
      </c>
      <c r="L126" t="str">
        <f t="shared" si="10"/>
        <v>ΟΡΕΣΤΙΔΟΣ</v>
      </c>
      <c r="M126" s="65" t="s">
        <v>417</v>
      </c>
      <c r="N126" t="str">
        <f t="shared" si="12"/>
        <v xml:space="preserve">ΔΥΤΙΚΗΣ ΜΑΚΕΔΟΝΙΑΣ - ΟΡΕΣΤΙΔΟΣ, </v>
      </c>
      <c r="O12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</v>
      </c>
    </row>
    <row r="127" spans="1:15" x14ac:dyDescent="0.3">
      <c r="A127" s="77">
        <v>126</v>
      </c>
      <c r="B127" t="s">
        <v>404</v>
      </c>
      <c r="C127" t="s">
        <v>166</v>
      </c>
      <c r="D127" t="s">
        <v>165</v>
      </c>
      <c r="E127" t="s">
        <v>665</v>
      </c>
      <c r="F127">
        <v>14372</v>
      </c>
      <c r="G127" t="str">
        <f>LOOKUP(B127,ΠΕΡΙΦΕΡΕΙΑ!$A$2:$A$14,ΠΕΡΙΦΕΡΕΙΑ!$B$2:$B$14)</f>
        <v>Μερική</v>
      </c>
      <c r="H127">
        <f t="shared" si="7"/>
        <v>126</v>
      </c>
      <c r="I127">
        <f t="shared" si="8"/>
        <v>126</v>
      </c>
      <c r="J127" t="str">
        <f t="shared" si="11"/>
        <v>ΠΡΕΣΠΩΝ - ΔΥΤΙΚΗΣ ΜΑΚΕΔΟΝΙΑΣ</v>
      </c>
      <c r="K127" t="str">
        <f t="shared" si="9"/>
        <v>ΔΥΤΙΚΗΣ ΜΑΚΕΔΟΝΙΑΣ</v>
      </c>
      <c r="L127" t="str">
        <f t="shared" si="10"/>
        <v>ΠΡΕΣΠΩΝ</v>
      </c>
      <c r="M127" s="65" t="s">
        <v>418</v>
      </c>
      <c r="N127" t="str">
        <f t="shared" si="12"/>
        <v/>
      </c>
      <c r="O12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</v>
      </c>
    </row>
    <row r="128" spans="1:15" x14ac:dyDescent="0.3">
      <c r="A128" s="77">
        <v>127</v>
      </c>
      <c r="B128" t="s">
        <v>404</v>
      </c>
      <c r="C128" t="s">
        <v>162</v>
      </c>
      <c r="D128" t="s">
        <v>163</v>
      </c>
      <c r="E128" t="s">
        <v>666</v>
      </c>
      <c r="F128">
        <v>14438</v>
      </c>
      <c r="G128" t="str">
        <f>LOOKUP(B128,ΠΕΡΙΦΕΡΕΙΑ!$A$2:$A$14,ΠΕΡΙΦΕΡΕΙΑ!$B$2:$B$14)</f>
        <v>Μερική</v>
      </c>
      <c r="H128">
        <f t="shared" si="7"/>
        <v>127</v>
      </c>
      <c r="I128">
        <f t="shared" si="8"/>
        <v>127</v>
      </c>
      <c r="J128" t="str">
        <f t="shared" si="11"/>
        <v>ΣΕΡΒΙΩΝ – ΒΕΛΒΕΝΤΟΥ - ΔΥΤΙΚΗΣ ΜΑΚΕΔΟΝΙΑΣ</v>
      </c>
      <c r="K128" t="str">
        <f t="shared" si="9"/>
        <v>ΔΥΤΙΚΗΣ ΜΑΚΕΔΟΝΙΑΣ</v>
      </c>
      <c r="L128" t="str">
        <f t="shared" si="10"/>
        <v>ΣΕΡΒΙΩΝ – ΒΕΛΒΕΝΤΟΥ</v>
      </c>
      <c r="M128" s="65" t="s">
        <v>417</v>
      </c>
      <c r="N128" t="str">
        <f t="shared" si="12"/>
        <v xml:space="preserve">ΔΥΤΙΚΗΣ ΜΑΚΕΔΟΝΙΑΣ - ΣΕΡΒΙΩΝ – ΒΕΛΒΕΝΤΟΥ, </v>
      </c>
      <c r="O12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</v>
      </c>
    </row>
    <row r="129" spans="1:15" x14ac:dyDescent="0.3">
      <c r="A129" s="77">
        <v>128</v>
      </c>
      <c r="B129" t="s">
        <v>404</v>
      </c>
      <c r="C129" t="s">
        <v>166</v>
      </c>
      <c r="D129" t="s">
        <v>166</v>
      </c>
      <c r="E129" t="s">
        <v>667</v>
      </c>
      <c r="F129">
        <v>14520</v>
      </c>
      <c r="G129" t="str">
        <f>LOOKUP(B129,ΠΕΡΙΦΕΡΕΙΑ!$A$2:$A$14,ΠΕΡΙΦΕΡΕΙΑ!$B$2:$B$14)</f>
        <v>Μερική</v>
      </c>
      <c r="H129">
        <f t="shared" si="7"/>
        <v>128</v>
      </c>
      <c r="I129">
        <f t="shared" si="8"/>
        <v>128</v>
      </c>
      <c r="J129" t="str">
        <f t="shared" si="11"/>
        <v>ΦΛΩΡΙΝΑΣ - ΔΥΤΙΚΗΣ ΜΑΚΕΔΟΝΙΑΣ</v>
      </c>
      <c r="K129" t="str">
        <f t="shared" si="9"/>
        <v>ΔΥΤΙΚΗΣ ΜΑΚΕΔΟΝΙΑΣ</v>
      </c>
      <c r="L129" t="str">
        <f t="shared" si="10"/>
        <v>ΦΛΩΡΙΝΑΣ</v>
      </c>
      <c r="M129" s="65" t="s">
        <v>417</v>
      </c>
      <c r="N129" t="str">
        <f t="shared" si="12"/>
        <v xml:space="preserve">ΔΥΤΙΚΗΣ ΜΑΚΕΔΟΝΙΑΣ - ΦΛΩΡΙΝΑΣ, </v>
      </c>
      <c r="O12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</v>
      </c>
    </row>
    <row r="130" spans="1:15" x14ac:dyDescent="0.3">
      <c r="A130" s="77">
        <v>129</v>
      </c>
      <c r="B130" t="s">
        <v>405</v>
      </c>
      <c r="C130" t="s">
        <v>375</v>
      </c>
      <c r="D130" t="s">
        <v>167</v>
      </c>
      <c r="E130" t="s">
        <v>668</v>
      </c>
      <c r="F130">
        <v>13998</v>
      </c>
      <c r="G130" t="str">
        <f>LOOKUP(B130,ΠΕΡΙΦΕΡΕΙΑ!$A$2:$A$14,ΠΕΡΙΦΕΡΕΙΑ!$B$2:$B$14)</f>
        <v>Μερική</v>
      </c>
      <c r="H130">
        <f t="shared" ref="H130:H193" si="14">IF(G130="Μερική",A130,"")</f>
        <v>129</v>
      </c>
      <c r="I130">
        <f t="shared" ref="I130:I193" si="15">SMALL(H:H,A130)</f>
        <v>129</v>
      </c>
      <c r="J130" t="str">
        <f t="shared" si="11"/>
        <v>ΑΡΤΑΙΩΝ - ΗΠΕΙΡΟΥ</v>
      </c>
      <c r="K130" t="str">
        <f t="shared" ref="K130:K193" si="16">IF(ISNUMBER(I130),LOOKUP(I130,A:A,B:B),"")</f>
        <v>ΗΠΕΙΡΟΥ</v>
      </c>
      <c r="L130" t="str">
        <f t="shared" ref="L130:L193" si="17">IF(ISNUMBER(I130),LOOKUP(I130,A:A,D:D),"")</f>
        <v>ΑΡΤΑΙΩΝ</v>
      </c>
      <c r="M130" s="65" t="s">
        <v>417</v>
      </c>
      <c r="N130" t="str">
        <f t="shared" si="12"/>
        <v xml:space="preserve">ΗΠΕΙΡΟΥ - ΑΡΤΑΙΩΝ, </v>
      </c>
      <c r="O13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</v>
      </c>
    </row>
    <row r="131" spans="1:15" x14ac:dyDescent="0.3">
      <c r="A131" s="77">
        <v>130</v>
      </c>
      <c r="B131" t="s">
        <v>405</v>
      </c>
      <c r="C131" t="s">
        <v>377</v>
      </c>
      <c r="D131" t="s">
        <v>174</v>
      </c>
      <c r="E131" t="s">
        <v>669</v>
      </c>
      <c r="F131">
        <v>14022</v>
      </c>
      <c r="G131" t="str">
        <f>LOOKUP(B131,ΠΕΡΙΦΕΡΕΙΑ!$A$2:$A$14,ΠΕΡΙΦΕΡΕΙΑ!$B$2:$B$14)</f>
        <v>Μερική</v>
      </c>
      <c r="H131">
        <f t="shared" si="14"/>
        <v>130</v>
      </c>
      <c r="I131">
        <f t="shared" si="15"/>
        <v>130</v>
      </c>
      <c r="J131" t="str">
        <f t="shared" ref="J131:J194" si="18">CONCATENATE(L131," - ",K131)</f>
        <v>ΒΟΡΕΙΩΝ ΤΖΟΥΜΕΡΚΩΝ - ΗΠΕΙΡΟΥ</v>
      </c>
      <c r="K131" t="str">
        <f t="shared" si="16"/>
        <v>ΗΠΕΙΡΟΥ</v>
      </c>
      <c r="L131" t="str">
        <f t="shared" si="17"/>
        <v>ΒΟΡΕΙΩΝ ΤΖΟΥΜΕΡΚΩΝ</v>
      </c>
      <c r="M131" s="65" t="s">
        <v>418</v>
      </c>
      <c r="N131" t="str">
        <f t="shared" ref="N131:N194" si="19">IF(L131&lt;&gt;"",IF(M131="ΝΑΙ",K131&amp;" - "&amp;L131&amp;", ",""),"")</f>
        <v/>
      </c>
      <c r="O13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</v>
      </c>
    </row>
    <row r="132" spans="1:15" x14ac:dyDescent="0.3">
      <c r="A132" s="77">
        <v>131</v>
      </c>
      <c r="B132" t="s">
        <v>405</v>
      </c>
      <c r="C132" t="s">
        <v>375</v>
      </c>
      <c r="D132" t="s">
        <v>168</v>
      </c>
      <c r="E132" t="s">
        <v>670</v>
      </c>
      <c r="F132">
        <v>14042</v>
      </c>
      <c r="G132" t="str">
        <f>LOOKUP(B132,ΠΕΡΙΦΕΡΕΙΑ!$A$2:$A$14,ΠΕΡΙΦΕΡΕΙΑ!$B$2:$B$14)</f>
        <v>Μερική</v>
      </c>
      <c r="H132">
        <f t="shared" si="14"/>
        <v>131</v>
      </c>
      <c r="I132">
        <f t="shared" si="15"/>
        <v>131</v>
      </c>
      <c r="J132" t="str">
        <f t="shared" si="18"/>
        <v>ΓΕΩΡΓΙΟΥ ΚΑΡΑΪΣΚΑΚΗ - ΗΠΕΙΡΟΥ</v>
      </c>
      <c r="K132" t="str">
        <f t="shared" si="16"/>
        <v>ΗΠΕΙΡΟΥ</v>
      </c>
      <c r="L132" t="str">
        <f t="shared" si="17"/>
        <v>ΓΕΩΡΓΙΟΥ ΚΑΡΑΪΣΚΑΚΗ</v>
      </c>
      <c r="M132" s="65" t="s">
        <v>418</v>
      </c>
      <c r="N132" t="str">
        <f t="shared" si="19"/>
        <v/>
      </c>
      <c r="O132" t="str">
        <f t="shared" ref="O132:O195" si="20">O131&amp;N132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</v>
      </c>
    </row>
    <row r="133" spans="1:15" x14ac:dyDescent="0.3">
      <c r="A133" s="77">
        <v>132</v>
      </c>
      <c r="B133" t="s">
        <v>405</v>
      </c>
      <c r="C133" t="s">
        <v>377</v>
      </c>
      <c r="D133" t="s">
        <v>175</v>
      </c>
      <c r="E133" t="s">
        <v>671</v>
      </c>
      <c r="F133">
        <v>14076</v>
      </c>
      <c r="G133" t="str">
        <f>LOOKUP(B133,ΠΕΡΙΦΕΡΕΙΑ!$A$2:$A$14,ΠΕΡΙΦΕΡΕΙΑ!$B$2:$B$14)</f>
        <v>Μερική</v>
      </c>
      <c r="H133">
        <f t="shared" si="14"/>
        <v>132</v>
      </c>
      <c r="I133">
        <f t="shared" si="15"/>
        <v>132</v>
      </c>
      <c r="J133" t="str">
        <f t="shared" si="18"/>
        <v>ΔΩΔΩΝΗΣ - ΗΠΕΙΡΟΥ</v>
      </c>
      <c r="K133" t="str">
        <f t="shared" si="16"/>
        <v>ΗΠΕΙΡΟΥ</v>
      </c>
      <c r="L133" t="str">
        <f t="shared" si="17"/>
        <v>ΔΩΔΩΝΗΣ</v>
      </c>
      <c r="M133" s="65" t="s">
        <v>418</v>
      </c>
      <c r="N133" t="str">
        <f t="shared" si="19"/>
        <v/>
      </c>
      <c r="O13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</v>
      </c>
    </row>
    <row r="134" spans="1:15" x14ac:dyDescent="0.3">
      <c r="A134" s="77">
        <v>133</v>
      </c>
      <c r="B134" t="s">
        <v>405</v>
      </c>
      <c r="C134" t="s">
        <v>377</v>
      </c>
      <c r="D134" t="s">
        <v>176</v>
      </c>
      <c r="E134" t="s">
        <v>672</v>
      </c>
      <c r="F134">
        <v>14104</v>
      </c>
      <c r="G134" t="str">
        <f>LOOKUP(B134,ΠΕΡΙΦΕΡΕΙΑ!$A$2:$A$14,ΠΕΡΙΦΕΡΕΙΑ!$B$2:$B$14)</f>
        <v>Μερική</v>
      </c>
      <c r="H134">
        <f t="shared" si="14"/>
        <v>133</v>
      </c>
      <c r="I134">
        <f t="shared" si="15"/>
        <v>133</v>
      </c>
      <c r="J134" t="str">
        <f t="shared" si="18"/>
        <v>ΖΑΓΟΡΙΟΥ - ΗΠΕΙΡΟΥ</v>
      </c>
      <c r="K134" t="str">
        <f t="shared" si="16"/>
        <v>ΗΠΕΙΡΟΥ</v>
      </c>
      <c r="L134" t="str">
        <f t="shared" si="17"/>
        <v>ΖΑΓΟΡΙΟΥ</v>
      </c>
      <c r="M134" s="65" t="s">
        <v>417</v>
      </c>
      <c r="N134" t="str">
        <f t="shared" si="19"/>
        <v xml:space="preserve">ΗΠΕΙΡΟΥ - ΖΑΓΟΡΙΟΥ, </v>
      </c>
      <c r="O13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</v>
      </c>
    </row>
    <row r="135" spans="1:15" x14ac:dyDescent="0.3">
      <c r="A135" s="77">
        <v>134</v>
      </c>
      <c r="B135" t="s">
        <v>405</v>
      </c>
      <c r="C135" t="s">
        <v>184</v>
      </c>
      <c r="D135" t="s">
        <v>182</v>
      </c>
      <c r="E135" t="s">
        <v>673</v>
      </c>
      <c r="F135">
        <v>14112</v>
      </c>
      <c r="G135" t="str">
        <f>LOOKUP(B135,ΠΕΡΙΦΕΡΕΙΑ!$A$2:$A$14,ΠΕΡΙΦΕΡΕΙΑ!$B$2:$B$14)</f>
        <v>Μερική</v>
      </c>
      <c r="H135">
        <f t="shared" si="14"/>
        <v>134</v>
      </c>
      <c r="I135">
        <f t="shared" si="15"/>
        <v>134</v>
      </c>
      <c r="J135" t="str">
        <f t="shared" si="18"/>
        <v>ΖΗΡΟΥ - ΗΠΕΙΡΟΥ</v>
      </c>
      <c r="K135" t="str">
        <f t="shared" si="16"/>
        <v>ΗΠΕΙΡΟΥ</v>
      </c>
      <c r="L135" t="str">
        <f t="shared" si="17"/>
        <v>ΖΗΡΟΥ</v>
      </c>
      <c r="M135" s="65" t="s">
        <v>417</v>
      </c>
      <c r="N135" t="str">
        <f t="shared" si="19"/>
        <v xml:space="preserve">ΗΠΕΙΡΟΥ - ΖΗΡΟΥ, </v>
      </c>
      <c r="O13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</v>
      </c>
    </row>
    <row r="136" spans="1:15" x14ac:dyDescent="0.3">
      <c r="A136" s="77">
        <v>135</v>
      </c>
      <c r="B136" t="s">
        <v>405</v>
      </c>
      <c r="C136" t="s">
        <v>377</v>
      </c>
      <c r="D136" t="s">
        <v>177</v>
      </c>
      <c r="E136" t="s">
        <v>674</v>
      </c>
      <c r="F136">
        <v>14114</v>
      </c>
      <c r="G136" t="str">
        <f>LOOKUP(B136,ΠΕΡΙΦΕΡΕΙΑ!$A$2:$A$14,ΠΕΡΙΦΕΡΕΙΑ!$B$2:$B$14)</f>
        <v>Μερική</v>
      </c>
      <c r="H136">
        <f t="shared" si="14"/>
        <v>135</v>
      </c>
      <c r="I136">
        <f t="shared" si="15"/>
        <v>135</v>
      </c>
      <c r="J136" t="str">
        <f t="shared" si="18"/>
        <v>ΖΙΤΣΑΣ - ΗΠΕΙΡΟΥ</v>
      </c>
      <c r="K136" t="str">
        <f t="shared" si="16"/>
        <v>ΗΠΕΙΡΟΥ</v>
      </c>
      <c r="L136" t="str">
        <f t="shared" si="17"/>
        <v>ΖΙΤΣΑΣ</v>
      </c>
      <c r="M136" s="65" t="s">
        <v>417</v>
      </c>
      <c r="N136" t="str">
        <f t="shared" si="19"/>
        <v xml:space="preserve">ΗΠΕΙΡΟΥ - ΖΙΤΣΑΣ, </v>
      </c>
      <c r="O13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</v>
      </c>
    </row>
    <row r="137" spans="1:15" x14ac:dyDescent="0.3">
      <c r="A137" s="77">
        <v>136</v>
      </c>
      <c r="B137" t="s">
        <v>405</v>
      </c>
      <c r="C137" t="s">
        <v>376</v>
      </c>
      <c r="D137" t="s">
        <v>171</v>
      </c>
      <c r="E137" t="s">
        <v>675</v>
      </c>
      <c r="F137">
        <v>14106</v>
      </c>
      <c r="G137" t="str">
        <f>LOOKUP(B137,ΠΕΡΙΦΕΡΕΙΑ!$A$2:$A$14,ΠΕΡΙΦΕΡΕΙΑ!$B$2:$B$14)</f>
        <v>Μερική</v>
      </c>
      <c r="H137">
        <f t="shared" si="14"/>
        <v>136</v>
      </c>
      <c r="I137">
        <f t="shared" si="15"/>
        <v>136</v>
      </c>
      <c r="J137" t="str">
        <f t="shared" si="18"/>
        <v>ΗΓΟΥΜΕΝΙΤΣΑΣ - ΗΠΕΙΡΟΥ</v>
      </c>
      <c r="K137" t="str">
        <f t="shared" si="16"/>
        <v>ΗΠΕΙΡΟΥ</v>
      </c>
      <c r="L137" t="str">
        <f t="shared" si="17"/>
        <v>ΗΓΟΥΜΕΝΙΤΣΑΣ</v>
      </c>
      <c r="M137" s="65" t="s">
        <v>417</v>
      </c>
      <c r="N137" t="str">
        <f t="shared" si="19"/>
        <v xml:space="preserve">ΗΠΕΙΡΟΥ - ΗΓΟΥΜΕΝΙΤΣΑΣ, </v>
      </c>
      <c r="O13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</v>
      </c>
    </row>
    <row r="138" spans="1:15" x14ac:dyDescent="0.3">
      <c r="A138" s="77">
        <v>137</v>
      </c>
      <c r="B138" t="s">
        <v>405</v>
      </c>
      <c r="C138" t="s">
        <v>377</v>
      </c>
      <c r="D138" t="s">
        <v>178</v>
      </c>
      <c r="E138" t="s">
        <v>676</v>
      </c>
      <c r="F138">
        <v>14154</v>
      </c>
      <c r="G138" t="str">
        <f>LOOKUP(B138,ΠΕΡΙΦΕΡΕΙΑ!$A$2:$A$14,ΠΕΡΙΦΕΡΕΙΑ!$B$2:$B$14)</f>
        <v>Μερική</v>
      </c>
      <c r="H138">
        <f t="shared" si="14"/>
        <v>137</v>
      </c>
      <c r="I138">
        <f t="shared" si="15"/>
        <v>137</v>
      </c>
      <c r="J138" t="str">
        <f t="shared" si="18"/>
        <v>ΙΩΑΝΝΙΤΩΝ - ΗΠΕΙΡΟΥ</v>
      </c>
      <c r="K138" t="str">
        <f t="shared" si="16"/>
        <v>ΗΠΕΙΡΟΥ</v>
      </c>
      <c r="L138" t="str">
        <f t="shared" si="17"/>
        <v>ΙΩΑΝΝΙΤΩΝ</v>
      </c>
      <c r="M138" s="65" t="s">
        <v>417</v>
      </c>
      <c r="N138" t="str">
        <f t="shared" si="19"/>
        <v xml:space="preserve">ΗΠΕΙΡΟΥ - ΙΩΑΝΝΙΤΩΝ, </v>
      </c>
      <c r="O13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39" spans="1:15" x14ac:dyDescent="0.3">
      <c r="A139" s="77">
        <v>138</v>
      </c>
      <c r="B139" t="s">
        <v>405</v>
      </c>
      <c r="C139" t="s">
        <v>375</v>
      </c>
      <c r="D139" t="s">
        <v>169</v>
      </c>
      <c r="E139" t="s">
        <v>677</v>
      </c>
      <c r="F139">
        <v>14162</v>
      </c>
      <c r="G139" t="str">
        <f>LOOKUP(B139,ΠΕΡΙΦΕΡΕΙΑ!$A$2:$A$14,ΠΕΡΙΦΕΡΕΙΑ!$B$2:$B$14)</f>
        <v>Μερική</v>
      </c>
      <c r="H139">
        <f t="shared" si="14"/>
        <v>138</v>
      </c>
      <c r="I139">
        <f t="shared" si="15"/>
        <v>138</v>
      </c>
      <c r="J139" t="str">
        <f t="shared" si="18"/>
        <v>ΚΕΝΤΡΙΚΩΝ ΤΖΟΥΜΕΡΚΩΝ - ΗΠΕΙΡΟΥ</v>
      </c>
      <c r="K139" t="str">
        <f t="shared" si="16"/>
        <v>ΗΠΕΙΡΟΥ</v>
      </c>
      <c r="L139" t="str">
        <f t="shared" si="17"/>
        <v>ΚΕΝΤΡΙΚΩΝ ΤΖΟΥΜΕΡΚΩΝ</v>
      </c>
      <c r="M139" s="65" t="s">
        <v>418</v>
      </c>
      <c r="N139" t="str">
        <f t="shared" si="19"/>
        <v/>
      </c>
      <c r="O13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40" spans="1:15" x14ac:dyDescent="0.3">
      <c r="A140" s="77">
        <v>139</v>
      </c>
      <c r="B140" t="s">
        <v>405</v>
      </c>
      <c r="C140" t="s">
        <v>377</v>
      </c>
      <c r="D140" t="s">
        <v>179</v>
      </c>
      <c r="E140" t="s">
        <v>678</v>
      </c>
      <c r="F140">
        <v>14222</v>
      </c>
      <c r="G140" t="str">
        <f>LOOKUP(B140,ΠΕΡΙΦΕΡΕΙΑ!$A$2:$A$14,ΠΕΡΙΦΕΡΕΙΑ!$B$2:$B$14)</f>
        <v>Μερική</v>
      </c>
      <c r="H140">
        <f t="shared" si="14"/>
        <v>139</v>
      </c>
      <c r="I140">
        <f t="shared" si="15"/>
        <v>139</v>
      </c>
      <c r="J140" t="str">
        <f t="shared" si="18"/>
        <v>ΚΟΝΙΤΣΑΣ - ΗΠΕΙΡΟΥ</v>
      </c>
      <c r="K140" t="str">
        <f t="shared" si="16"/>
        <v>ΗΠΕΙΡΟΥ</v>
      </c>
      <c r="L140" t="str">
        <f t="shared" si="17"/>
        <v>ΚΟΝΙΤΣΑΣ</v>
      </c>
      <c r="M140" s="65" t="s">
        <v>418</v>
      </c>
      <c r="N140" t="str">
        <f t="shared" si="19"/>
        <v/>
      </c>
      <c r="O14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41" spans="1:15" x14ac:dyDescent="0.3">
      <c r="A141" s="77">
        <v>140</v>
      </c>
      <c r="B141" t="s">
        <v>405</v>
      </c>
      <c r="C141" t="s">
        <v>377</v>
      </c>
      <c r="D141" t="s">
        <v>180</v>
      </c>
      <c r="E141" t="s">
        <v>679</v>
      </c>
      <c r="F141">
        <v>14294</v>
      </c>
      <c r="G141" t="str">
        <f>LOOKUP(B141,ΠΕΡΙΦΕΡΕΙΑ!$A$2:$A$14,ΠΕΡΙΦΕΡΕΙΑ!$B$2:$B$14)</f>
        <v>Μερική</v>
      </c>
      <c r="H141">
        <f t="shared" si="14"/>
        <v>140</v>
      </c>
      <c r="I141">
        <f t="shared" si="15"/>
        <v>140</v>
      </c>
      <c r="J141" t="str">
        <f t="shared" si="18"/>
        <v>ΜΕΤΣΟΒΟΥ - ΗΠΕΙΡΟΥ</v>
      </c>
      <c r="K141" t="str">
        <f t="shared" si="16"/>
        <v>ΗΠΕΙΡΟΥ</v>
      </c>
      <c r="L141" t="str">
        <f t="shared" si="17"/>
        <v>ΜΕΤΣΟΒΟΥ</v>
      </c>
      <c r="M141" s="65" t="s">
        <v>417</v>
      </c>
      <c r="N141" t="str">
        <f t="shared" si="19"/>
        <v xml:space="preserve">ΗΠΕΙΡΟΥ - ΜΕΤΣΟΒΟΥ, </v>
      </c>
      <c r="O14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</v>
      </c>
    </row>
    <row r="142" spans="1:15" x14ac:dyDescent="0.3">
      <c r="A142" s="77">
        <v>141</v>
      </c>
      <c r="B142" t="s">
        <v>405</v>
      </c>
      <c r="C142" t="s">
        <v>375</v>
      </c>
      <c r="D142" t="s">
        <v>170</v>
      </c>
      <c r="E142" t="s">
        <v>680</v>
      </c>
      <c r="F142">
        <v>14326</v>
      </c>
      <c r="G142" t="str">
        <f>LOOKUP(B142,ΠΕΡΙΦΕΡΕΙΑ!$A$2:$A$14,ΠΕΡΙΦΕΡΕΙΑ!$B$2:$B$14)</f>
        <v>Μερική</v>
      </c>
      <c r="H142">
        <f t="shared" si="14"/>
        <v>141</v>
      </c>
      <c r="I142">
        <f t="shared" si="15"/>
        <v>141</v>
      </c>
      <c r="J142" t="str">
        <f t="shared" si="18"/>
        <v>ΝΙΚΟΛΑΟΥ ΣΚΟΥΦΑ - ΗΠΕΙΡΟΥ</v>
      </c>
      <c r="K142" t="str">
        <f t="shared" si="16"/>
        <v>ΗΠΕΙΡΟΥ</v>
      </c>
      <c r="L142" t="str">
        <f t="shared" si="17"/>
        <v>ΝΙΚΟΛΑΟΥ ΣΚΟΥΦΑ</v>
      </c>
      <c r="M142" s="65" t="s">
        <v>417</v>
      </c>
      <c r="N142" t="str">
        <f t="shared" si="19"/>
        <v xml:space="preserve">ΗΠΕΙΡΟΥ - ΝΙΚΟΛΑΟΥ ΣΚΟΥΦΑ, </v>
      </c>
      <c r="O14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</v>
      </c>
    </row>
    <row r="143" spans="1:15" x14ac:dyDescent="0.3">
      <c r="A143" s="77">
        <v>142</v>
      </c>
      <c r="B143" t="s">
        <v>405</v>
      </c>
      <c r="C143" t="s">
        <v>184</v>
      </c>
      <c r="D143" t="s">
        <v>183</v>
      </c>
      <c r="E143" t="s">
        <v>681</v>
      </c>
      <c r="F143">
        <v>14398</v>
      </c>
      <c r="G143" t="str">
        <f>LOOKUP(B143,ΠΕΡΙΦΕΡΕΙΑ!$A$2:$A$14,ΠΕΡΙΦΕΡΕΙΑ!$B$2:$B$14)</f>
        <v>Μερική</v>
      </c>
      <c r="H143">
        <f t="shared" si="14"/>
        <v>142</v>
      </c>
      <c r="I143">
        <f t="shared" si="15"/>
        <v>142</v>
      </c>
      <c r="J143" t="str">
        <f t="shared" si="18"/>
        <v>ΠΑΡΓΑΣ - ΗΠΕΙΡΟΥ</v>
      </c>
      <c r="K143" t="str">
        <f t="shared" si="16"/>
        <v>ΗΠΕΙΡΟΥ</v>
      </c>
      <c r="L143" t="str">
        <f t="shared" si="17"/>
        <v>ΠΑΡΓΑΣ</v>
      </c>
      <c r="M143" s="65" t="s">
        <v>418</v>
      </c>
      <c r="N143" t="str">
        <f t="shared" si="19"/>
        <v/>
      </c>
      <c r="O14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</v>
      </c>
    </row>
    <row r="144" spans="1:15" x14ac:dyDescent="0.3">
      <c r="A144" s="77">
        <v>143</v>
      </c>
      <c r="B144" t="s">
        <v>405</v>
      </c>
      <c r="C144" t="s">
        <v>184</v>
      </c>
      <c r="D144" t="s">
        <v>184</v>
      </c>
      <c r="E144" t="s">
        <v>682</v>
      </c>
      <c r="F144">
        <v>14418</v>
      </c>
      <c r="G144" t="str">
        <f>LOOKUP(B144,ΠΕΡΙΦΕΡΕΙΑ!$A$2:$A$14,ΠΕΡΙΦΕΡΕΙΑ!$B$2:$B$14)</f>
        <v>Μερική</v>
      </c>
      <c r="H144">
        <f t="shared" si="14"/>
        <v>143</v>
      </c>
      <c r="I144">
        <f t="shared" si="15"/>
        <v>143</v>
      </c>
      <c r="J144" t="str">
        <f t="shared" si="18"/>
        <v>ΠΡΕΒΕΖΑΣ - ΗΠΕΙΡΟΥ</v>
      </c>
      <c r="K144" t="str">
        <f t="shared" si="16"/>
        <v>ΗΠΕΙΡΟΥ</v>
      </c>
      <c r="L144" t="str">
        <f t="shared" si="17"/>
        <v>ΠΡΕΒΕΖΑΣ</v>
      </c>
      <c r="M144" s="65" t="s">
        <v>417</v>
      </c>
      <c r="N144" t="str">
        <f t="shared" si="19"/>
        <v xml:space="preserve">ΗΠΕΙΡΟΥ - ΠΡΕΒΕΖΑΣ, </v>
      </c>
      <c r="O14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</v>
      </c>
    </row>
    <row r="145" spans="1:15" x14ac:dyDescent="0.3">
      <c r="A145" s="77">
        <v>144</v>
      </c>
      <c r="B145" t="s">
        <v>405</v>
      </c>
      <c r="C145" t="s">
        <v>377</v>
      </c>
      <c r="D145" t="s">
        <v>181</v>
      </c>
      <c r="E145" t="s">
        <v>683</v>
      </c>
      <c r="F145">
        <v>14378</v>
      </c>
      <c r="G145" t="str">
        <f>LOOKUP(B145,ΠΕΡΙΦΕΡΕΙΑ!$A$2:$A$14,ΠΕΡΙΦΕΡΕΙΑ!$B$2:$B$14)</f>
        <v>Μερική</v>
      </c>
      <c r="H145">
        <f t="shared" si="14"/>
        <v>144</v>
      </c>
      <c r="I145">
        <f t="shared" si="15"/>
        <v>144</v>
      </c>
      <c r="J145" t="str">
        <f t="shared" si="18"/>
        <v>ΠΩΓΩΝΙΟΥ - ΗΠΕΙΡΟΥ</v>
      </c>
      <c r="K145" t="str">
        <f t="shared" si="16"/>
        <v>ΗΠΕΙΡΟΥ</v>
      </c>
      <c r="L145" t="str">
        <f t="shared" si="17"/>
        <v>ΠΩΓΩΝΙΟΥ</v>
      </c>
      <c r="M145" s="65" t="s">
        <v>417</v>
      </c>
      <c r="N145" t="str">
        <f t="shared" si="19"/>
        <v xml:space="preserve">ΗΠΕΙΡΟΥ - ΠΩΓΩΝΙΟΥ, </v>
      </c>
      <c r="O14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</v>
      </c>
    </row>
    <row r="146" spans="1:15" x14ac:dyDescent="0.3">
      <c r="A146" s="77">
        <v>145</v>
      </c>
      <c r="B146" t="s">
        <v>405</v>
      </c>
      <c r="C146" t="s">
        <v>376</v>
      </c>
      <c r="D146" t="s">
        <v>172</v>
      </c>
      <c r="E146" t="s">
        <v>684</v>
      </c>
      <c r="F146">
        <v>14468</v>
      </c>
      <c r="G146" t="str">
        <f>LOOKUP(B146,ΠΕΡΙΦΕΡΕΙΑ!$A$2:$A$14,ΠΕΡΙΦΕΡΕΙΑ!$B$2:$B$14)</f>
        <v>Μερική</v>
      </c>
      <c r="H146">
        <f t="shared" si="14"/>
        <v>145</v>
      </c>
      <c r="I146">
        <f t="shared" si="15"/>
        <v>145</v>
      </c>
      <c r="J146" t="str">
        <f t="shared" si="18"/>
        <v>ΣΟΥΛΙΟΥ - ΗΠΕΙΡΟΥ</v>
      </c>
      <c r="K146" t="str">
        <f t="shared" si="16"/>
        <v>ΗΠΕΙΡΟΥ</v>
      </c>
      <c r="L146" t="str">
        <f t="shared" si="17"/>
        <v>ΣΟΥΛΙΟΥ</v>
      </c>
      <c r="M146" s="65" t="s">
        <v>417</v>
      </c>
      <c r="N146" t="str">
        <f t="shared" si="19"/>
        <v xml:space="preserve">ΗΠΕΙΡΟΥ - ΣΟΥΛΙΟΥ, </v>
      </c>
      <c r="O14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</v>
      </c>
    </row>
    <row r="147" spans="1:15" x14ac:dyDescent="0.3">
      <c r="A147" s="77">
        <v>146</v>
      </c>
      <c r="B147" t="s">
        <v>405</v>
      </c>
      <c r="C147" t="s">
        <v>376</v>
      </c>
      <c r="D147" t="s">
        <v>173</v>
      </c>
      <c r="E147" t="s">
        <v>685</v>
      </c>
      <c r="F147">
        <v>14516</v>
      </c>
      <c r="G147" t="str">
        <f>LOOKUP(B147,ΠΕΡΙΦΕΡΕΙΑ!$A$2:$A$14,ΠΕΡΙΦΕΡΕΙΑ!$B$2:$B$14)</f>
        <v>Μερική</v>
      </c>
      <c r="H147">
        <f t="shared" si="14"/>
        <v>146</v>
      </c>
      <c r="I147">
        <f t="shared" si="15"/>
        <v>146</v>
      </c>
      <c r="J147" t="str">
        <f t="shared" si="18"/>
        <v>ΦΙΛΙΑΤΩΝ - ΗΠΕΙΡΟΥ</v>
      </c>
      <c r="K147" t="str">
        <f t="shared" si="16"/>
        <v>ΗΠΕΙΡΟΥ</v>
      </c>
      <c r="L147" t="str">
        <f t="shared" si="17"/>
        <v>ΦΙΛΙΑΤΩΝ</v>
      </c>
      <c r="M147" s="65" t="s">
        <v>417</v>
      </c>
      <c r="N147" t="str">
        <f t="shared" si="19"/>
        <v xml:space="preserve">ΗΠΕΙΡΟΥ - ΦΙΛΙΑΤΩΝ, </v>
      </c>
      <c r="O14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</v>
      </c>
    </row>
    <row r="148" spans="1:15" x14ac:dyDescent="0.3">
      <c r="A148" s="77">
        <v>147</v>
      </c>
      <c r="B148" t="s">
        <v>406</v>
      </c>
      <c r="C148" t="s">
        <v>378</v>
      </c>
      <c r="D148" t="s">
        <v>191</v>
      </c>
      <c r="E148" t="s">
        <v>686</v>
      </c>
      <c r="F148">
        <v>13938</v>
      </c>
      <c r="G148" t="str">
        <f>LOOKUP(B148,ΠΕΡΙΦΕΡΕΙΑ!$A$2:$A$14,ΠΕΡΙΦΕΡΕΙΑ!$B$2:$B$14)</f>
        <v>Μερική</v>
      </c>
      <c r="H148">
        <f t="shared" si="14"/>
        <v>147</v>
      </c>
      <c r="I148">
        <f t="shared" si="15"/>
        <v>147</v>
      </c>
      <c r="J148" t="str">
        <f t="shared" si="18"/>
        <v>ΑΓΙΑΣ - ΘΕΣΣΑΛΙΑΣ</v>
      </c>
      <c r="K148" t="str">
        <f t="shared" si="16"/>
        <v>ΘΕΣΣΑΛΙΑΣ</v>
      </c>
      <c r="L148" t="str">
        <f t="shared" si="17"/>
        <v>ΑΓΙΑΣ</v>
      </c>
      <c r="M148" s="65" t="s">
        <v>417</v>
      </c>
      <c r="N148" t="str">
        <f t="shared" si="19"/>
        <v xml:space="preserve">ΘΕΣΣΑΛΙΑΣ - ΑΓΙΑΣ, </v>
      </c>
      <c r="O14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</v>
      </c>
    </row>
    <row r="149" spans="1:15" x14ac:dyDescent="0.3">
      <c r="A149" s="77">
        <v>148</v>
      </c>
      <c r="B149" t="s">
        <v>406</v>
      </c>
      <c r="C149" t="s">
        <v>379</v>
      </c>
      <c r="D149" t="s">
        <v>198</v>
      </c>
      <c r="E149" t="s">
        <v>687</v>
      </c>
      <c r="F149">
        <v>13958</v>
      </c>
      <c r="G149" t="str">
        <f>LOOKUP(B149,ΠΕΡΙΦΕΡΕΙΑ!$A$2:$A$14,ΠΕΡΙΦΕΡΕΙΑ!$B$2:$B$14)</f>
        <v>Μερική</v>
      </c>
      <c r="H149">
        <f t="shared" si="14"/>
        <v>148</v>
      </c>
      <c r="I149">
        <f t="shared" si="15"/>
        <v>148</v>
      </c>
      <c r="J149" t="str">
        <f t="shared" si="18"/>
        <v>ΑΛΜΥΡΟΥ - ΘΕΣΣΑΛΙΑΣ</v>
      </c>
      <c r="K149" t="str">
        <f t="shared" si="16"/>
        <v>ΘΕΣΣΑΛΙΑΣ</v>
      </c>
      <c r="L149" t="str">
        <f t="shared" si="17"/>
        <v>ΑΛΜΥΡΟΥ</v>
      </c>
      <c r="M149" s="65" t="s">
        <v>417</v>
      </c>
      <c r="N149" t="str">
        <f t="shared" si="19"/>
        <v xml:space="preserve">ΘΕΣΣΑΛΙΑΣ - ΑΛΜΥΡΟΥ, </v>
      </c>
      <c r="O14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0" spans="1:15" x14ac:dyDescent="0.3">
      <c r="A150" s="77">
        <v>149</v>
      </c>
      <c r="B150" t="s">
        <v>406</v>
      </c>
      <c r="C150" t="s">
        <v>380</v>
      </c>
      <c r="D150" t="s">
        <v>203</v>
      </c>
      <c r="E150" t="s">
        <v>688</v>
      </c>
      <c r="F150">
        <v>13960</v>
      </c>
      <c r="G150" t="str">
        <f>LOOKUP(B150,ΠΕΡΙΦΕΡΕΙΑ!$A$2:$A$14,ΠΕΡΙΦΕΡΕΙΑ!$B$2:$B$14)</f>
        <v>Μερική</v>
      </c>
      <c r="H150">
        <f t="shared" si="14"/>
        <v>149</v>
      </c>
      <c r="I150">
        <f t="shared" si="15"/>
        <v>149</v>
      </c>
      <c r="J150" t="str">
        <f t="shared" si="18"/>
        <v>ΑΛΟΝΝΗΣΟΥ - ΘΕΣΣΑΛΙΑΣ</v>
      </c>
      <c r="K150" t="str">
        <f t="shared" si="16"/>
        <v>ΘΕΣΣΑΛΙΑΣ</v>
      </c>
      <c r="L150" t="str">
        <f t="shared" si="17"/>
        <v>ΑΛΟΝΝΗΣΟΥ</v>
      </c>
      <c r="M150" s="65" t="s">
        <v>418</v>
      </c>
      <c r="N150" t="str">
        <f t="shared" si="19"/>
        <v/>
      </c>
      <c r="O15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1" spans="1:15" x14ac:dyDescent="0.3">
      <c r="A151" s="77">
        <v>150</v>
      </c>
      <c r="B151" t="s">
        <v>406</v>
      </c>
      <c r="C151" t="s">
        <v>186</v>
      </c>
      <c r="D151" t="s">
        <v>185</v>
      </c>
      <c r="E151" t="s">
        <v>689</v>
      </c>
      <c r="F151">
        <v>13992</v>
      </c>
      <c r="G151" t="str">
        <f>LOOKUP(B151,ΠΕΡΙΦΕΡΕΙΑ!$A$2:$A$14,ΠΕΡΙΦΕΡΕΙΑ!$B$2:$B$14)</f>
        <v>Μερική</v>
      </c>
      <c r="H151">
        <f t="shared" si="14"/>
        <v>150</v>
      </c>
      <c r="I151">
        <f t="shared" si="15"/>
        <v>150</v>
      </c>
      <c r="J151" t="str">
        <f t="shared" si="18"/>
        <v>ΑΡΓΙΘΕΑΣ - ΘΕΣΣΑΛΙΑΣ</v>
      </c>
      <c r="K151" t="str">
        <f t="shared" si="16"/>
        <v>ΘΕΣΣΑΛΙΑΣ</v>
      </c>
      <c r="L151" t="str">
        <f t="shared" si="17"/>
        <v>ΑΡΓΙΘΕΑΣ</v>
      </c>
      <c r="M151" s="65" t="s">
        <v>418</v>
      </c>
      <c r="N151" t="str">
        <f t="shared" si="19"/>
        <v/>
      </c>
      <c r="O15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2" spans="1:15" x14ac:dyDescent="0.3">
      <c r="A152" s="77">
        <v>151</v>
      </c>
      <c r="B152" t="s">
        <v>406</v>
      </c>
      <c r="C152" t="s">
        <v>379</v>
      </c>
      <c r="D152" t="s">
        <v>199</v>
      </c>
      <c r="E152" t="s">
        <v>690</v>
      </c>
      <c r="F152">
        <v>14034</v>
      </c>
      <c r="G152" t="str">
        <f>LOOKUP(B152,ΠΕΡΙΦΕΡΕΙΑ!$A$2:$A$14,ΠΕΡΙΦΕΡΕΙΑ!$B$2:$B$14)</f>
        <v>Μερική</v>
      </c>
      <c r="H152">
        <f t="shared" si="14"/>
        <v>151</v>
      </c>
      <c r="I152">
        <f t="shared" si="15"/>
        <v>151</v>
      </c>
      <c r="J152" t="str">
        <f t="shared" si="18"/>
        <v>ΒΟΛΟΥ - ΘΕΣΣΑΛΙΑΣ</v>
      </c>
      <c r="K152" t="str">
        <f t="shared" si="16"/>
        <v>ΘΕΣΣΑΛΙΑΣ</v>
      </c>
      <c r="L152" t="str">
        <f t="shared" si="17"/>
        <v>ΒΟΛΟΥ</v>
      </c>
      <c r="M152" s="65" t="s">
        <v>417</v>
      </c>
      <c r="N152" t="str">
        <f t="shared" si="19"/>
        <v xml:space="preserve">ΘΕΣΣΑΛΙΑΣ - ΒΟΛΟΥ, </v>
      </c>
      <c r="O15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</v>
      </c>
    </row>
    <row r="153" spans="1:15" x14ac:dyDescent="0.3">
      <c r="A153" s="77">
        <v>152</v>
      </c>
      <c r="B153" t="s">
        <v>406</v>
      </c>
      <c r="C153" t="s">
        <v>378</v>
      </c>
      <c r="D153" t="s">
        <v>192</v>
      </c>
      <c r="E153" t="s">
        <v>691</v>
      </c>
      <c r="F153">
        <v>14082</v>
      </c>
      <c r="G153" t="str">
        <f>LOOKUP(B153,ΠΕΡΙΦΕΡΕΙΑ!$A$2:$A$14,ΠΕΡΙΦΕΡΕΙΑ!$B$2:$B$14)</f>
        <v>Μερική</v>
      </c>
      <c r="H153">
        <f t="shared" si="14"/>
        <v>152</v>
      </c>
      <c r="I153">
        <f t="shared" si="15"/>
        <v>152</v>
      </c>
      <c r="J153" t="str">
        <f t="shared" si="18"/>
        <v>ΕΛΑΣΣΟΝΑΣ - ΘΕΣΣΑΛΙΑΣ</v>
      </c>
      <c r="K153" t="str">
        <f t="shared" si="16"/>
        <v>ΘΕΣΣΑΛΙΑΣ</v>
      </c>
      <c r="L153" t="str">
        <f t="shared" si="17"/>
        <v>ΕΛΑΣΣΟΝΑΣ</v>
      </c>
      <c r="M153" s="65" t="s">
        <v>417</v>
      </c>
      <c r="N153" t="str">
        <f t="shared" si="19"/>
        <v xml:space="preserve">ΘΕΣΣΑΛΙΑΣ - ΕΛΑΣΣΟΝΑΣ, </v>
      </c>
      <c r="O15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</v>
      </c>
    </row>
    <row r="154" spans="1:15" x14ac:dyDescent="0.3">
      <c r="A154" s="77">
        <v>153</v>
      </c>
      <c r="B154" t="s">
        <v>406</v>
      </c>
      <c r="C154" t="s">
        <v>379</v>
      </c>
      <c r="D154" t="s">
        <v>200</v>
      </c>
      <c r="E154" t="s">
        <v>692</v>
      </c>
      <c r="F154">
        <v>14102</v>
      </c>
      <c r="G154" t="str">
        <f>LOOKUP(B154,ΠΕΡΙΦΕΡΕΙΑ!$A$2:$A$14,ΠΕΡΙΦΕΡΕΙΑ!$B$2:$B$14)</f>
        <v>Μερική</v>
      </c>
      <c r="H154">
        <f t="shared" si="14"/>
        <v>153</v>
      </c>
      <c r="I154">
        <f t="shared" si="15"/>
        <v>153</v>
      </c>
      <c r="J154" t="str">
        <f t="shared" si="18"/>
        <v>ΖΑΓΟΡΑΣ – ΜΟΥΡΕΣΙΟΥ - ΘΕΣΣΑΛΙΑΣ</v>
      </c>
      <c r="K154" t="str">
        <f t="shared" si="16"/>
        <v>ΘΕΣΣΑΛΙΑΣ</v>
      </c>
      <c r="L154" t="str">
        <f t="shared" si="17"/>
        <v>ΖΑΓΟΡΑΣ – ΜΟΥΡΕΣΙΟΥ</v>
      </c>
      <c r="M154" s="65" t="s">
        <v>418</v>
      </c>
      <c r="N154" t="str">
        <f t="shared" si="19"/>
        <v/>
      </c>
      <c r="O15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</v>
      </c>
    </row>
    <row r="155" spans="1:15" x14ac:dyDescent="0.3">
      <c r="A155" s="77">
        <v>154</v>
      </c>
      <c r="B155" t="s">
        <v>406</v>
      </c>
      <c r="C155" t="s">
        <v>381</v>
      </c>
      <c r="D155" t="s">
        <v>206</v>
      </c>
      <c r="E155" t="s">
        <v>693</v>
      </c>
      <c r="F155">
        <v>14182</v>
      </c>
      <c r="G155" t="str">
        <f>LOOKUP(B155,ΠΕΡΙΦΕΡΕΙΑ!$A$2:$A$14,ΠΕΡΙΦΕΡΕΙΑ!$B$2:$B$14)</f>
        <v>Μερική</v>
      </c>
      <c r="H155">
        <f t="shared" si="14"/>
        <v>154</v>
      </c>
      <c r="I155">
        <f t="shared" si="15"/>
        <v>154</v>
      </c>
      <c r="J155" t="str">
        <f t="shared" si="18"/>
        <v>ΚΑΛΑΜΠΑΚΑΣ - ΘΕΣΣΑΛΙΑΣ</v>
      </c>
      <c r="K155" t="str">
        <f t="shared" si="16"/>
        <v>ΘΕΣΣΑΛΙΑΣ</v>
      </c>
      <c r="L155" t="str">
        <f t="shared" si="17"/>
        <v>ΚΑΛΑΜΠΑΚΑΣ</v>
      </c>
      <c r="M155" s="65" t="s">
        <v>417</v>
      </c>
      <c r="N155" t="str">
        <f t="shared" si="19"/>
        <v xml:space="preserve">ΘΕΣΣΑΛΙΑΣ - ΚΑΛΑΜΠΑΚΑΣ, </v>
      </c>
      <c r="O15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</v>
      </c>
    </row>
    <row r="156" spans="1:15" x14ac:dyDescent="0.3">
      <c r="A156" s="77">
        <v>155</v>
      </c>
      <c r="B156" t="s">
        <v>406</v>
      </c>
      <c r="C156" t="s">
        <v>186</v>
      </c>
      <c r="D156" t="s">
        <v>186</v>
      </c>
      <c r="E156" t="s">
        <v>694</v>
      </c>
      <c r="F156">
        <v>14188</v>
      </c>
      <c r="G156" t="str">
        <f>LOOKUP(B156,ΠΕΡΙΦΕΡΕΙΑ!$A$2:$A$14,ΠΕΡΙΦΕΡΕΙΑ!$B$2:$B$14)</f>
        <v>Μερική</v>
      </c>
      <c r="H156">
        <f t="shared" si="14"/>
        <v>155</v>
      </c>
      <c r="I156">
        <f t="shared" si="15"/>
        <v>155</v>
      </c>
      <c r="J156" t="str">
        <f t="shared" si="18"/>
        <v>ΚΑΡΔΙΤΣΑΣ - ΘΕΣΣΑΛΙΑΣ</v>
      </c>
      <c r="K156" t="str">
        <f t="shared" si="16"/>
        <v>ΘΕΣΣΑΛΙΑΣ</v>
      </c>
      <c r="L156" t="str">
        <f t="shared" si="17"/>
        <v>ΚΑΡΔΙΤΣΑΣ</v>
      </c>
      <c r="M156" s="65" t="s">
        <v>417</v>
      </c>
      <c r="N156" t="str">
        <f t="shared" si="19"/>
        <v xml:space="preserve">ΘΕΣΣΑΛΙΑΣ - ΚΑΡΔΙΤΣΑΣ, </v>
      </c>
      <c r="O15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</v>
      </c>
    </row>
    <row r="157" spans="1:15" x14ac:dyDescent="0.3">
      <c r="A157" s="77">
        <v>156</v>
      </c>
      <c r="B157" t="s">
        <v>406</v>
      </c>
      <c r="C157" t="s">
        <v>378</v>
      </c>
      <c r="D157" t="s">
        <v>193</v>
      </c>
      <c r="E157" t="s">
        <v>695</v>
      </c>
      <c r="F157">
        <v>14210</v>
      </c>
      <c r="G157" t="str">
        <f>LOOKUP(B157,ΠΕΡΙΦΕΡΕΙΑ!$A$2:$A$14,ΠΕΡΙΦΕΡΕΙΑ!$B$2:$B$14)</f>
        <v>Μερική</v>
      </c>
      <c r="H157">
        <f t="shared" si="14"/>
        <v>156</v>
      </c>
      <c r="I157">
        <f t="shared" si="15"/>
        <v>156</v>
      </c>
      <c r="J157" t="str">
        <f t="shared" si="18"/>
        <v>ΚΙΛΕΛΕΡ - ΘΕΣΣΑΛΙΑΣ</v>
      </c>
      <c r="K157" t="str">
        <f t="shared" si="16"/>
        <v>ΘΕΣΣΑΛΙΑΣ</v>
      </c>
      <c r="L157" t="str">
        <f t="shared" si="17"/>
        <v>ΚΙΛΕΛΕΡ</v>
      </c>
      <c r="M157" s="65" t="s">
        <v>417</v>
      </c>
      <c r="N157" t="str">
        <f t="shared" si="19"/>
        <v xml:space="preserve">ΘΕΣΣΑΛΙΑΣ - ΚΙΛΕΛΕΡ, </v>
      </c>
      <c r="O15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</v>
      </c>
    </row>
    <row r="158" spans="1:15" x14ac:dyDescent="0.3">
      <c r="A158" s="77">
        <v>157</v>
      </c>
      <c r="B158" t="s">
        <v>406</v>
      </c>
      <c r="C158" t="s">
        <v>378</v>
      </c>
      <c r="D158" t="s">
        <v>194</v>
      </c>
      <c r="E158" t="s">
        <v>696</v>
      </c>
      <c r="F158">
        <v>14246</v>
      </c>
      <c r="G158" t="str">
        <f>LOOKUP(B158,ΠΕΡΙΦΕΡΕΙΑ!$A$2:$A$14,ΠΕΡΙΦΕΡΕΙΑ!$B$2:$B$14)</f>
        <v>Μερική</v>
      </c>
      <c r="H158">
        <f t="shared" si="14"/>
        <v>157</v>
      </c>
      <c r="I158">
        <f t="shared" si="15"/>
        <v>157</v>
      </c>
      <c r="J158" t="str">
        <f t="shared" si="18"/>
        <v>ΛΑΡΙΣΑΙΩΝ - ΘΕΣΣΑΛΙΑΣ</v>
      </c>
      <c r="K158" t="str">
        <f t="shared" si="16"/>
        <v>ΘΕΣΣΑΛΙΑΣ</v>
      </c>
      <c r="L158" t="str">
        <f t="shared" si="17"/>
        <v>ΛΑΡΙΣΑΙΩΝ</v>
      </c>
      <c r="M158" s="65" t="s">
        <v>417</v>
      </c>
      <c r="N158" t="str">
        <f t="shared" si="19"/>
        <v xml:space="preserve">ΘΕΣΣΑΛΙΑΣ - ΛΑΡΙΣΑΙΩΝ, </v>
      </c>
      <c r="O15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</v>
      </c>
    </row>
    <row r="159" spans="1:15" x14ac:dyDescent="0.3">
      <c r="A159" s="77">
        <v>158</v>
      </c>
      <c r="B159" t="s">
        <v>406</v>
      </c>
      <c r="C159" t="s">
        <v>186</v>
      </c>
      <c r="D159" t="s">
        <v>187</v>
      </c>
      <c r="E159" t="s">
        <v>697</v>
      </c>
      <c r="F159">
        <v>14258</v>
      </c>
      <c r="G159" t="str">
        <f>LOOKUP(B159,ΠΕΡΙΦΕΡΕΙΑ!$A$2:$A$14,ΠΕΡΙΦΕΡΕΙΑ!$B$2:$B$14)</f>
        <v>Μερική</v>
      </c>
      <c r="H159">
        <f t="shared" si="14"/>
        <v>158</v>
      </c>
      <c r="I159">
        <f t="shared" si="15"/>
        <v>158</v>
      </c>
      <c r="J159" t="str">
        <f t="shared" si="18"/>
        <v>ΛΙΜΝΗΣ ΠΛΑΣΤΗΡΑ - ΘΕΣΣΑΛΙΑΣ</v>
      </c>
      <c r="K159" t="str">
        <f t="shared" si="16"/>
        <v>ΘΕΣΣΑΛΙΑΣ</v>
      </c>
      <c r="L159" t="str">
        <f t="shared" si="17"/>
        <v>ΛΙΜΝΗΣ ΠΛΑΣΤΗΡΑ</v>
      </c>
      <c r="M159" s="65" t="s">
        <v>418</v>
      </c>
      <c r="N159" t="str">
        <f t="shared" si="19"/>
        <v/>
      </c>
      <c r="O15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</v>
      </c>
    </row>
    <row r="160" spans="1:15" x14ac:dyDescent="0.3">
      <c r="A160" s="77">
        <v>159</v>
      </c>
      <c r="B160" t="s">
        <v>406</v>
      </c>
      <c r="C160" t="s">
        <v>186</v>
      </c>
      <c r="D160" t="s">
        <v>188</v>
      </c>
      <c r="E160" t="s">
        <v>698</v>
      </c>
      <c r="F160">
        <v>14302</v>
      </c>
      <c r="G160" t="str">
        <f>LOOKUP(B160,ΠΕΡΙΦΕΡΕΙΑ!$A$2:$A$14,ΠΕΡΙΦΕΡΕΙΑ!$B$2:$B$14)</f>
        <v>Μερική</v>
      </c>
      <c r="H160">
        <f t="shared" si="14"/>
        <v>159</v>
      </c>
      <c r="I160">
        <f t="shared" si="15"/>
        <v>159</v>
      </c>
      <c r="J160" t="str">
        <f t="shared" si="18"/>
        <v>ΜΟΥΖΑΚΙΟΥ - ΘΕΣΣΑΛΙΑΣ</v>
      </c>
      <c r="K160" t="str">
        <f t="shared" si="16"/>
        <v>ΘΕΣΣΑΛΙΑΣ</v>
      </c>
      <c r="L160" t="str">
        <f t="shared" si="17"/>
        <v>ΜΟΥΖΑΚΙΟΥ</v>
      </c>
      <c r="M160" s="65" t="s">
        <v>417</v>
      </c>
      <c r="N160" t="str">
        <f t="shared" si="19"/>
        <v xml:space="preserve">ΘΕΣΣΑΛΙΑΣ - ΜΟΥΖΑΚΙΟΥ, </v>
      </c>
      <c r="O16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</v>
      </c>
    </row>
    <row r="161" spans="1:15" x14ac:dyDescent="0.3">
      <c r="A161" s="77">
        <v>160</v>
      </c>
      <c r="B161" t="s">
        <v>406</v>
      </c>
      <c r="C161" t="s">
        <v>379</v>
      </c>
      <c r="D161" t="s">
        <v>201</v>
      </c>
      <c r="E161" t="s">
        <v>699</v>
      </c>
      <c r="F161">
        <v>14342</v>
      </c>
      <c r="G161" t="str">
        <f>LOOKUP(B161,ΠΕΡΙΦΕΡΕΙΑ!$A$2:$A$14,ΠΕΡΙΦΕΡΕΙΑ!$B$2:$B$14)</f>
        <v>Μερική</v>
      </c>
      <c r="H161">
        <f t="shared" si="14"/>
        <v>160</v>
      </c>
      <c r="I161">
        <f t="shared" si="15"/>
        <v>160</v>
      </c>
      <c r="J161" t="str">
        <f t="shared" si="18"/>
        <v>ΝΟΤΙΟΥ ΠΗΛΙΟΥ - ΘΕΣΣΑΛΙΑΣ</v>
      </c>
      <c r="K161" t="str">
        <f t="shared" si="16"/>
        <v>ΘΕΣΣΑΛΙΑΣ</v>
      </c>
      <c r="L161" t="str">
        <f t="shared" si="17"/>
        <v>ΝΟΤΙΟΥ ΠΗΛΙΟΥ</v>
      </c>
      <c r="M161" s="65" t="s">
        <v>417</v>
      </c>
      <c r="N161" t="str">
        <f t="shared" si="19"/>
        <v xml:space="preserve">ΘΕΣΣΑΛΙΑΣ - ΝΟΤΙΟΥ ΠΗΛΙΟΥ, </v>
      </c>
      <c r="O16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</v>
      </c>
    </row>
    <row r="162" spans="1:15" x14ac:dyDescent="0.3">
      <c r="A162" s="77">
        <v>161</v>
      </c>
      <c r="B162" t="s">
        <v>406</v>
      </c>
      <c r="C162" t="s">
        <v>186</v>
      </c>
      <c r="D162" t="s">
        <v>189</v>
      </c>
      <c r="E162" t="s">
        <v>700</v>
      </c>
      <c r="F162">
        <v>14388</v>
      </c>
      <c r="G162" t="str">
        <f>LOOKUP(B162,ΠΕΡΙΦΕΡΕΙΑ!$A$2:$A$14,ΠΕΡΙΦΕΡΕΙΑ!$B$2:$B$14)</f>
        <v>Μερική</v>
      </c>
      <c r="H162">
        <f t="shared" si="14"/>
        <v>161</v>
      </c>
      <c r="I162">
        <f t="shared" si="15"/>
        <v>161</v>
      </c>
      <c r="J162" t="str">
        <f t="shared" si="18"/>
        <v>ΠΑΛΑΜΑ - ΘΕΣΣΑΛΙΑΣ</v>
      </c>
      <c r="K162" t="str">
        <f t="shared" si="16"/>
        <v>ΘΕΣΣΑΛΙΑΣ</v>
      </c>
      <c r="L162" t="str">
        <f t="shared" si="17"/>
        <v>ΠΑΛΑΜΑ</v>
      </c>
      <c r="M162" s="65" t="s">
        <v>417</v>
      </c>
      <c r="N162" t="str">
        <f t="shared" si="19"/>
        <v xml:space="preserve">ΘΕΣΣΑΛΙΑΣ - ΠΑΛΑΜΑ, </v>
      </c>
      <c r="O16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</v>
      </c>
    </row>
    <row r="163" spans="1:15" x14ac:dyDescent="0.3">
      <c r="A163" s="77">
        <v>162</v>
      </c>
      <c r="B163" t="s">
        <v>406</v>
      </c>
      <c r="C163" t="s">
        <v>381</v>
      </c>
      <c r="D163" t="s">
        <v>207</v>
      </c>
      <c r="E163" t="s">
        <v>701</v>
      </c>
      <c r="F163">
        <v>14374</v>
      </c>
      <c r="G163" t="str">
        <f>LOOKUP(B163,ΠΕΡΙΦΕΡΕΙΑ!$A$2:$A$14,ΠΕΡΙΦΕΡΕΙΑ!$B$2:$B$14)</f>
        <v>Μερική</v>
      </c>
      <c r="H163">
        <f t="shared" si="14"/>
        <v>162</v>
      </c>
      <c r="I163">
        <f t="shared" si="15"/>
        <v>162</v>
      </c>
      <c r="J163" t="str">
        <f t="shared" si="18"/>
        <v>ΠΥΛΗΣ - ΘΕΣΣΑΛΙΑΣ</v>
      </c>
      <c r="K163" t="str">
        <f t="shared" si="16"/>
        <v>ΘΕΣΣΑΛΙΑΣ</v>
      </c>
      <c r="L163" t="str">
        <f t="shared" si="17"/>
        <v>ΠΥΛΗΣ</v>
      </c>
      <c r="M163" s="65" t="s">
        <v>418</v>
      </c>
      <c r="N163" t="str">
        <f t="shared" si="19"/>
        <v/>
      </c>
      <c r="O16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</v>
      </c>
    </row>
    <row r="164" spans="1:15" x14ac:dyDescent="0.3">
      <c r="A164" s="77">
        <v>163</v>
      </c>
      <c r="B164" t="s">
        <v>406</v>
      </c>
      <c r="C164" t="s">
        <v>379</v>
      </c>
      <c r="D164" t="s">
        <v>202</v>
      </c>
      <c r="E164" t="s">
        <v>702</v>
      </c>
      <c r="F164">
        <v>14434</v>
      </c>
      <c r="G164" t="str">
        <f>LOOKUP(B164,ΠΕΡΙΦΕΡΕΙΑ!$A$2:$A$14,ΠΕΡΙΦΕΡΕΙΑ!$B$2:$B$14)</f>
        <v>Μερική</v>
      </c>
      <c r="H164">
        <f t="shared" si="14"/>
        <v>163</v>
      </c>
      <c r="I164">
        <f t="shared" si="15"/>
        <v>163</v>
      </c>
      <c r="J164" t="str">
        <f t="shared" si="18"/>
        <v>ΡΗΓΑ ΦΕΡΑΙΟΥ - ΘΕΣΣΑΛΙΑΣ</v>
      </c>
      <c r="K164" t="str">
        <f t="shared" si="16"/>
        <v>ΘΕΣΣΑΛΙΑΣ</v>
      </c>
      <c r="L164" t="str">
        <f t="shared" si="17"/>
        <v>ΡΗΓΑ ΦΕΡΑΙΟΥ</v>
      </c>
      <c r="M164" s="65" t="s">
        <v>417</v>
      </c>
      <c r="N164" t="str">
        <f t="shared" si="19"/>
        <v xml:space="preserve">ΘΕΣΣΑΛΙΑΣ - ΡΗΓΑ ΦΕΡΑΙΟΥ, </v>
      </c>
      <c r="O16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</v>
      </c>
    </row>
    <row r="165" spans="1:15" x14ac:dyDescent="0.3">
      <c r="A165" s="77">
        <v>164</v>
      </c>
      <c r="B165" t="s">
        <v>406</v>
      </c>
      <c r="C165" t="s">
        <v>380</v>
      </c>
      <c r="D165" t="s">
        <v>204</v>
      </c>
      <c r="E165" t="s">
        <v>703</v>
      </c>
      <c r="F165">
        <v>14466</v>
      </c>
      <c r="G165" t="str">
        <f>LOOKUP(B165,ΠΕΡΙΦΕΡΕΙΑ!$A$2:$A$14,ΠΕΡΙΦΕΡΕΙΑ!$B$2:$B$14)</f>
        <v>Μερική</v>
      </c>
      <c r="H165">
        <f t="shared" si="14"/>
        <v>164</v>
      </c>
      <c r="I165">
        <f t="shared" si="15"/>
        <v>164</v>
      </c>
      <c r="J165" t="str">
        <f t="shared" si="18"/>
        <v>ΣΚΙΑΘΟΥ - ΘΕΣΣΑΛΙΑΣ</v>
      </c>
      <c r="K165" t="str">
        <f t="shared" si="16"/>
        <v>ΘΕΣΣΑΛΙΑΣ</v>
      </c>
      <c r="L165" t="str">
        <f t="shared" si="17"/>
        <v>ΣΚΙΑΘΟΥ</v>
      </c>
      <c r="M165" s="65" t="s">
        <v>417</v>
      </c>
      <c r="N165" t="str">
        <f t="shared" si="19"/>
        <v xml:space="preserve">ΘΕΣΣΑΛΙΑΣ - ΣΚΙΑΘΟΥ, </v>
      </c>
      <c r="O16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</v>
      </c>
    </row>
    <row r="166" spans="1:15" x14ac:dyDescent="0.3">
      <c r="A166" s="77">
        <v>165</v>
      </c>
      <c r="B166" t="s">
        <v>406</v>
      </c>
      <c r="C166" t="s">
        <v>380</v>
      </c>
      <c r="D166" t="s">
        <v>205</v>
      </c>
      <c r="E166" t="s">
        <v>704</v>
      </c>
      <c r="F166">
        <v>14440</v>
      </c>
      <c r="G166" t="str">
        <f>LOOKUP(B166,ΠΕΡΙΦΕΡΕΙΑ!$A$2:$A$14,ΠΕΡΙΦΕΡΕΙΑ!$B$2:$B$14)</f>
        <v>Μερική</v>
      </c>
      <c r="H166">
        <f t="shared" si="14"/>
        <v>165</v>
      </c>
      <c r="I166">
        <f t="shared" si="15"/>
        <v>165</v>
      </c>
      <c r="J166" t="str">
        <f t="shared" si="18"/>
        <v>ΣΚΟΠΕΛΟΥ - ΘΕΣΣΑΛΙΑΣ</v>
      </c>
      <c r="K166" t="str">
        <f t="shared" si="16"/>
        <v>ΘΕΣΣΑΛΙΑΣ</v>
      </c>
      <c r="L166" t="str">
        <f t="shared" si="17"/>
        <v>ΣΚΟΠΕΛΟΥ</v>
      </c>
      <c r="M166" s="65" t="s">
        <v>418</v>
      </c>
      <c r="N166" t="str">
        <f t="shared" si="19"/>
        <v/>
      </c>
      <c r="O16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</v>
      </c>
    </row>
    <row r="167" spans="1:15" x14ac:dyDescent="0.3">
      <c r="A167" s="77">
        <v>166</v>
      </c>
      <c r="B167" t="s">
        <v>406</v>
      </c>
      <c r="C167" t="s">
        <v>186</v>
      </c>
      <c r="D167" t="s">
        <v>190</v>
      </c>
      <c r="E167" t="s">
        <v>705</v>
      </c>
      <c r="F167">
        <v>14476</v>
      </c>
      <c r="G167" t="str">
        <f>LOOKUP(B167,ΠΕΡΙΦΕΡΕΙΑ!$A$2:$A$14,ΠΕΡΙΦΕΡΕΙΑ!$B$2:$B$14)</f>
        <v>Μερική</v>
      </c>
      <c r="H167">
        <f t="shared" si="14"/>
        <v>166</v>
      </c>
      <c r="I167">
        <f t="shared" si="15"/>
        <v>166</v>
      </c>
      <c r="J167" t="str">
        <f t="shared" si="18"/>
        <v>ΣΟΦΑΔΩΝ - ΘΕΣΣΑΛΙΑΣ</v>
      </c>
      <c r="K167" t="str">
        <f t="shared" si="16"/>
        <v>ΘΕΣΣΑΛΙΑΣ</v>
      </c>
      <c r="L167" t="str">
        <f t="shared" si="17"/>
        <v>ΣΟΦΑΔΩΝ</v>
      </c>
      <c r="M167" s="65" t="s">
        <v>417</v>
      </c>
      <c r="N167" t="str">
        <f t="shared" si="19"/>
        <v xml:space="preserve">ΘΕΣΣΑΛΙΑΣ - ΣΟΦΑΔΩΝ, </v>
      </c>
      <c r="O16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</v>
      </c>
    </row>
    <row r="168" spans="1:15" x14ac:dyDescent="0.3">
      <c r="A168" s="77">
        <v>167</v>
      </c>
      <c r="B168" t="s">
        <v>406</v>
      </c>
      <c r="C168" t="s">
        <v>378</v>
      </c>
      <c r="D168" t="s">
        <v>195</v>
      </c>
      <c r="E168" t="s">
        <v>706</v>
      </c>
      <c r="F168">
        <v>14490</v>
      </c>
      <c r="G168" t="str">
        <f>LOOKUP(B168,ΠΕΡΙΦΕΡΕΙΑ!$A$2:$A$14,ΠΕΡΙΦΕΡΕΙΑ!$B$2:$B$14)</f>
        <v>Μερική</v>
      </c>
      <c r="H168">
        <f t="shared" si="14"/>
        <v>167</v>
      </c>
      <c r="I168">
        <f t="shared" si="15"/>
        <v>167</v>
      </c>
      <c r="J168" t="str">
        <f t="shared" si="18"/>
        <v>ΤΕΜΠΩΝ - ΘΕΣΣΑΛΙΑΣ</v>
      </c>
      <c r="K168" t="str">
        <f t="shared" si="16"/>
        <v>ΘΕΣΣΑΛΙΑΣ</v>
      </c>
      <c r="L168" t="str">
        <f t="shared" si="17"/>
        <v>ΤΕΜΠΩΝ</v>
      </c>
      <c r="M168" s="65" t="s">
        <v>417</v>
      </c>
      <c r="N168" t="str">
        <f t="shared" si="19"/>
        <v xml:space="preserve">ΘΕΣΣΑΛΙΑΣ - ΤΕΜΠΩΝ, </v>
      </c>
      <c r="O16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</v>
      </c>
    </row>
    <row r="169" spans="1:15" x14ac:dyDescent="0.3">
      <c r="A169" s="77">
        <v>168</v>
      </c>
      <c r="B169" t="s">
        <v>406</v>
      </c>
      <c r="C169" t="s">
        <v>381</v>
      </c>
      <c r="D169" t="s">
        <v>208</v>
      </c>
      <c r="E169" t="s">
        <v>707</v>
      </c>
      <c r="F169">
        <v>14494</v>
      </c>
      <c r="G169" t="str">
        <f>LOOKUP(B169,ΠΕΡΙΦΕΡΕΙΑ!$A$2:$A$14,ΠΕΡΙΦΕΡΕΙΑ!$B$2:$B$14)</f>
        <v>Μερική</v>
      </c>
      <c r="H169">
        <f t="shared" si="14"/>
        <v>168</v>
      </c>
      <c r="I169">
        <f t="shared" si="15"/>
        <v>168</v>
      </c>
      <c r="J169" t="str">
        <f t="shared" si="18"/>
        <v>ΤΡΙΚΚΑΙΩΝ - ΘΕΣΣΑΛΙΑΣ</v>
      </c>
      <c r="K169" t="str">
        <f t="shared" si="16"/>
        <v>ΘΕΣΣΑΛΙΑΣ</v>
      </c>
      <c r="L169" t="str">
        <f t="shared" si="17"/>
        <v>ΤΡΙΚΚΑΙΩΝ</v>
      </c>
      <c r="M169" s="65" t="s">
        <v>417</v>
      </c>
      <c r="N169" t="str">
        <f t="shared" si="19"/>
        <v xml:space="preserve">ΘΕΣΣΑΛΙΑΣ - ΤΡΙΚΚΑΙΩΝ, </v>
      </c>
      <c r="O16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</v>
      </c>
    </row>
    <row r="170" spans="1:15" x14ac:dyDescent="0.3">
      <c r="A170" s="77">
        <v>169</v>
      </c>
      <c r="B170" t="s">
        <v>406</v>
      </c>
      <c r="C170" t="s">
        <v>378</v>
      </c>
      <c r="D170" t="s">
        <v>196</v>
      </c>
      <c r="E170" t="s">
        <v>708</v>
      </c>
      <c r="F170">
        <v>14506</v>
      </c>
      <c r="G170" t="str">
        <f>LOOKUP(B170,ΠΕΡΙΦΕΡΕΙΑ!$A$2:$A$14,ΠΕΡΙΦΕΡΕΙΑ!$B$2:$B$14)</f>
        <v>Μερική</v>
      </c>
      <c r="H170">
        <f t="shared" si="14"/>
        <v>169</v>
      </c>
      <c r="I170">
        <f t="shared" si="15"/>
        <v>169</v>
      </c>
      <c r="J170" t="str">
        <f t="shared" si="18"/>
        <v>ΤΥΡΝΑΒΟΥ - ΘΕΣΣΑΛΙΑΣ</v>
      </c>
      <c r="K170" t="str">
        <f t="shared" si="16"/>
        <v>ΘΕΣΣΑΛΙΑΣ</v>
      </c>
      <c r="L170" t="str">
        <f t="shared" si="17"/>
        <v>ΤΥΡΝΑΒΟΥ</v>
      </c>
      <c r="M170" s="65" t="s">
        <v>417</v>
      </c>
      <c r="N170" t="str">
        <f t="shared" si="19"/>
        <v xml:space="preserve">ΘΕΣΣΑΛΙΑΣ - ΤΥΡΝΑΒΟΥ, </v>
      </c>
      <c r="O17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</v>
      </c>
    </row>
    <row r="171" spans="1:15" x14ac:dyDescent="0.3">
      <c r="A171" s="77">
        <v>170</v>
      </c>
      <c r="B171" t="s">
        <v>406</v>
      </c>
      <c r="C171" t="s">
        <v>381</v>
      </c>
      <c r="D171" t="s">
        <v>209</v>
      </c>
      <c r="E171" t="s">
        <v>709</v>
      </c>
      <c r="F171">
        <v>13916</v>
      </c>
      <c r="G171" t="str">
        <f>LOOKUP(B171,ΠΕΡΙΦΕΡΕΙΑ!$A$2:$A$14,ΠΕΡΙΦΕΡΕΙΑ!$B$2:$B$14)</f>
        <v>Μερική</v>
      </c>
      <c r="H171">
        <f t="shared" si="14"/>
        <v>170</v>
      </c>
      <c r="I171">
        <f t="shared" si="15"/>
        <v>170</v>
      </c>
      <c r="J171" t="str">
        <f t="shared" si="18"/>
        <v>ΦΑΡΚΑΔΟΝΑΣ - ΘΕΣΣΑΛΙΑΣ</v>
      </c>
      <c r="K171" t="str">
        <f t="shared" si="16"/>
        <v>ΘΕΣΣΑΛΙΑΣ</v>
      </c>
      <c r="L171" t="str">
        <f t="shared" si="17"/>
        <v>ΦΑΡΚΑΔΟΝΑΣ</v>
      </c>
      <c r="M171" s="65" t="s">
        <v>417</v>
      </c>
      <c r="N171" t="str">
        <f t="shared" si="19"/>
        <v xml:space="preserve">ΘΕΣΣΑΛΙΑΣ - ΦΑΡΚΑΔΟΝΑΣ, </v>
      </c>
      <c r="O17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</v>
      </c>
    </row>
    <row r="172" spans="1:15" x14ac:dyDescent="0.3">
      <c r="A172" s="77">
        <v>171</v>
      </c>
      <c r="B172" t="s">
        <v>406</v>
      </c>
      <c r="C172" t="s">
        <v>378</v>
      </c>
      <c r="D172" t="s">
        <v>197</v>
      </c>
      <c r="E172" t="s">
        <v>710</v>
      </c>
      <c r="F172">
        <v>14512</v>
      </c>
      <c r="G172" t="str">
        <f>LOOKUP(B172,ΠΕΡΙΦΕΡΕΙΑ!$A$2:$A$14,ΠΕΡΙΦΕΡΕΙΑ!$B$2:$B$14)</f>
        <v>Μερική</v>
      </c>
      <c r="H172">
        <f t="shared" si="14"/>
        <v>171</v>
      </c>
      <c r="I172">
        <f t="shared" si="15"/>
        <v>171</v>
      </c>
      <c r="J172" t="str">
        <f t="shared" si="18"/>
        <v>ΦΑΡΣΑΛΩΝ - ΘΕΣΣΑΛΙΑΣ</v>
      </c>
      <c r="K172" t="str">
        <f t="shared" si="16"/>
        <v>ΘΕΣΣΑΛΙΑΣ</v>
      </c>
      <c r="L172" t="str">
        <f t="shared" si="17"/>
        <v>ΦΑΡΣΑΛΩΝ</v>
      </c>
      <c r="M172" s="65" t="s">
        <v>417</v>
      </c>
      <c r="N172" t="str">
        <f t="shared" si="19"/>
        <v xml:space="preserve">ΘΕΣΣΑΛΙΑΣ - ΦΑΡΣΑΛΩΝ, </v>
      </c>
      <c r="O17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</v>
      </c>
    </row>
    <row r="173" spans="1:15" x14ac:dyDescent="0.3">
      <c r="A173" s="77">
        <v>172</v>
      </c>
      <c r="B173" t="s">
        <v>407</v>
      </c>
      <c r="C173" t="s">
        <v>210</v>
      </c>
      <c r="D173" t="s">
        <v>210</v>
      </c>
      <c r="E173" t="s">
        <v>711</v>
      </c>
      <c r="F173">
        <v>14108</v>
      </c>
      <c r="G173" t="str">
        <f>LOOKUP(B173,ΠΕΡΙΦΕΡΕΙΑ!$A$2:$A$14,ΠΕΡΙΦΕΡΕΙΑ!$B$2:$B$14)</f>
        <v>Μερική</v>
      </c>
      <c r="H173">
        <f t="shared" si="14"/>
        <v>172</v>
      </c>
      <c r="I173">
        <f t="shared" si="15"/>
        <v>172</v>
      </c>
      <c r="J173" t="str">
        <f t="shared" si="18"/>
        <v>ΖΑΚΥΝΘΟΥ - ΙΟΝΙΩΝ ΝΗΣΩΝ</v>
      </c>
      <c r="K173" t="str">
        <f t="shared" si="16"/>
        <v>ΙΟΝΙΩΝ ΝΗΣΩΝ</v>
      </c>
      <c r="L173" t="str">
        <f t="shared" si="17"/>
        <v>ΖΑΚΥΝΘΟΥ</v>
      </c>
      <c r="M173" s="65" t="s">
        <v>417</v>
      </c>
      <c r="N173" t="str">
        <f t="shared" si="19"/>
        <v xml:space="preserve">ΙΟΝΙΩΝ ΝΗΣΩΝ - ΖΑΚΥΝΘΟΥ, </v>
      </c>
      <c r="O17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</v>
      </c>
    </row>
    <row r="174" spans="1:15" x14ac:dyDescent="0.3">
      <c r="A174" s="77">
        <v>173</v>
      </c>
      <c r="B174" t="s">
        <v>407</v>
      </c>
      <c r="C174" t="s">
        <v>211</v>
      </c>
      <c r="D174" t="s">
        <v>211</v>
      </c>
      <c r="E174" t="s">
        <v>712</v>
      </c>
      <c r="F174">
        <v>14146</v>
      </c>
      <c r="G174" t="str">
        <f>LOOKUP(B174,ΠΕΡΙΦΕΡΕΙΑ!$A$2:$A$14,ΠΕΡΙΦΕΡΕΙΑ!$B$2:$B$14)</f>
        <v>Μερική</v>
      </c>
      <c r="H174">
        <f t="shared" si="14"/>
        <v>173</v>
      </c>
      <c r="I174">
        <f t="shared" si="15"/>
        <v>173</v>
      </c>
      <c r="J174" t="str">
        <f t="shared" si="18"/>
        <v>ΙΘΑΚΗΣ - ΙΟΝΙΩΝ ΝΗΣΩΝ</v>
      </c>
      <c r="K174" t="str">
        <f t="shared" si="16"/>
        <v>ΙΟΝΙΩΝ ΝΗΣΩΝ</v>
      </c>
      <c r="L174" t="str">
        <f t="shared" si="17"/>
        <v>ΙΘΑΚΗΣ</v>
      </c>
      <c r="M174" s="65" t="s">
        <v>418</v>
      </c>
      <c r="N174" t="str">
        <f t="shared" si="19"/>
        <v/>
      </c>
      <c r="O17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</v>
      </c>
    </row>
    <row r="175" spans="1:15" x14ac:dyDescent="0.3">
      <c r="A175" s="77">
        <v>174</v>
      </c>
      <c r="B175" t="s">
        <v>407</v>
      </c>
      <c r="C175" t="s">
        <v>212</v>
      </c>
      <c r="D175" t="s">
        <v>212</v>
      </c>
      <c r="E175" t="s">
        <v>713</v>
      </c>
      <c r="F175">
        <v>14206</v>
      </c>
      <c r="G175" t="str">
        <f>LOOKUP(B175,ΠΕΡΙΦΕΡΕΙΑ!$A$2:$A$14,ΠΕΡΙΦΕΡΕΙΑ!$B$2:$B$14)</f>
        <v>Μερική</v>
      </c>
      <c r="H175">
        <f t="shared" si="14"/>
        <v>174</v>
      </c>
      <c r="I175">
        <f t="shared" si="15"/>
        <v>174</v>
      </c>
      <c r="J175" t="str">
        <f t="shared" si="18"/>
        <v>ΚΕΡΚΥΡΑΣ - ΙΟΝΙΩΝ ΝΗΣΩΝ</v>
      </c>
      <c r="K175" t="str">
        <f t="shared" si="16"/>
        <v>ΙΟΝΙΩΝ ΝΗΣΩΝ</v>
      </c>
      <c r="L175" t="str">
        <f t="shared" si="17"/>
        <v>ΚΕΡΚΥΡΑΣ</v>
      </c>
      <c r="M175" s="65" t="s">
        <v>417</v>
      </c>
      <c r="N175" t="str">
        <f t="shared" si="19"/>
        <v xml:space="preserve">ΙΟΝΙΩΝ ΝΗΣΩΝ - ΚΕΡΚΥΡΑΣ, </v>
      </c>
      <c r="O17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</v>
      </c>
    </row>
    <row r="176" spans="1:15" x14ac:dyDescent="0.3">
      <c r="A176" s="77">
        <v>175</v>
      </c>
      <c r="B176" t="s">
        <v>407</v>
      </c>
      <c r="C176" t="s">
        <v>382</v>
      </c>
      <c r="D176" t="s">
        <v>214</v>
      </c>
      <c r="E176" t="s">
        <v>714</v>
      </c>
      <c r="F176">
        <v>14208</v>
      </c>
      <c r="G176" t="str">
        <f>LOOKUP(B176,ΠΕΡΙΦΕΡΕΙΑ!$A$2:$A$14,ΠΕΡΙΦΕΡΕΙΑ!$B$2:$B$14)</f>
        <v>Μερική</v>
      </c>
      <c r="H176">
        <f t="shared" si="14"/>
        <v>175</v>
      </c>
      <c r="I176">
        <f t="shared" si="15"/>
        <v>175</v>
      </c>
      <c r="J176" t="str">
        <f t="shared" si="18"/>
        <v>ΚΕΦΑΛΟΝΙΑΣ - ΙΟΝΙΩΝ ΝΗΣΩΝ</v>
      </c>
      <c r="K176" t="str">
        <f t="shared" si="16"/>
        <v>ΙΟΝΙΩΝ ΝΗΣΩΝ</v>
      </c>
      <c r="L176" t="str">
        <f t="shared" si="17"/>
        <v>ΚΕΦΑΛΟΝΙΑΣ</v>
      </c>
      <c r="M176" s="65" t="s">
        <v>417</v>
      </c>
      <c r="N176" t="str">
        <f t="shared" si="19"/>
        <v xml:space="preserve">ΙΟΝΙΩΝ ΝΗΣΩΝ - ΚΕΦΑΛΟΝΙΑΣ, </v>
      </c>
      <c r="O17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</v>
      </c>
    </row>
    <row r="177" spans="1:15" x14ac:dyDescent="0.3">
      <c r="A177" s="77">
        <v>176</v>
      </c>
      <c r="B177" t="s">
        <v>407</v>
      </c>
      <c r="C177" t="s">
        <v>215</v>
      </c>
      <c r="D177" t="s">
        <v>215</v>
      </c>
      <c r="E177" t="s">
        <v>715</v>
      </c>
      <c r="F177">
        <v>14238</v>
      </c>
      <c r="G177" t="str">
        <f>LOOKUP(B177,ΠΕΡΙΦΕΡΕΙΑ!$A$2:$A$14,ΠΕΡΙΦΕΡΕΙΑ!$B$2:$B$14)</f>
        <v>Μερική</v>
      </c>
      <c r="H177">
        <f t="shared" si="14"/>
        <v>176</v>
      </c>
      <c r="I177">
        <f t="shared" si="15"/>
        <v>176</v>
      </c>
      <c r="J177" t="str">
        <f t="shared" si="18"/>
        <v>ΛΕΥΚΑΔΑΣ - ΙΟΝΙΩΝ ΝΗΣΩΝ</v>
      </c>
      <c r="K177" t="str">
        <f t="shared" si="16"/>
        <v>ΙΟΝΙΩΝ ΝΗΣΩΝ</v>
      </c>
      <c r="L177" t="str">
        <f t="shared" si="17"/>
        <v>ΛΕΥΚΑΔΑΣ</v>
      </c>
      <c r="M177" s="65" t="s">
        <v>417</v>
      </c>
      <c r="N177" t="str">
        <f t="shared" si="19"/>
        <v xml:space="preserve">ΙΟΝΙΩΝ ΝΗΣΩΝ - ΛΕΥΚΑΔΑΣ, </v>
      </c>
      <c r="O17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</v>
      </c>
    </row>
    <row r="178" spans="1:15" x14ac:dyDescent="0.3">
      <c r="A178" s="77">
        <v>177</v>
      </c>
      <c r="B178" t="s">
        <v>407</v>
      </c>
      <c r="C178" t="s">
        <v>215</v>
      </c>
      <c r="D178" t="s">
        <v>216</v>
      </c>
      <c r="E178" t="s">
        <v>716</v>
      </c>
      <c r="F178">
        <v>14284</v>
      </c>
      <c r="G178" t="str">
        <f>LOOKUP(B178,ΠΕΡΙΦΕΡΕΙΑ!$A$2:$A$14,ΠΕΡΙΦΕΡΕΙΑ!$B$2:$B$14)</f>
        <v>Μερική</v>
      </c>
      <c r="H178">
        <f t="shared" si="14"/>
        <v>177</v>
      </c>
      <c r="I178">
        <f t="shared" si="15"/>
        <v>177</v>
      </c>
      <c r="J178" t="str">
        <f t="shared" si="18"/>
        <v>ΜΕΓΑΝΗΣΙΟΥ - ΙΟΝΙΩΝ ΝΗΣΩΝ</v>
      </c>
      <c r="K178" t="str">
        <f t="shared" si="16"/>
        <v>ΙΟΝΙΩΝ ΝΗΣΩΝ</v>
      </c>
      <c r="L178" t="str">
        <f t="shared" si="17"/>
        <v>ΜΕΓΑΝΗΣΙΟΥ</v>
      </c>
      <c r="M178" s="65" t="s">
        <v>418</v>
      </c>
      <c r="N178" t="str">
        <f t="shared" si="19"/>
        <v/>
      </c>
      <c r="O17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</v>
      </c>
    </row>
    <row r="179" spans="1:15" x14ac:dyDescent="0.3">
      <c r="A179" s="77">
        <v>178</v>
      </c>
      <c r="B179" t="s">
        <v>407</v>
      </c>
      <c r="C179" t="s">
        <v>212</v>
      </c>
      <c r="D179" t="s">
        <v>213</v>
      </c>
      <c r="E179" t="s">
        <v>717</v>
      </c>
      <c r="F179">
        <v>14392</v>
      </c>
      <c r="G179" t="str">
        <f>LOOKUP(B179,ΠΕΡΙΦΕΡΕΙΑ!$A$2:$A$14,ΠΕΡΙΦΕΡΕΙΑ!$B$2:$B$14)</f>
        <v>Μερική</v>
      </c>
      <c r="H179">
        <f t="shared" si="14"/>
        <v>178</v>
      </c>
      <c r="I179">
        <f t="shared" si="15"/>
        <v>178</v>
      </c>
      <c r="J179" t="str">
        <f t="shared" si="18"/>
        <v>ΠΑΞΩΝ - ΙΟΝΙΩΝ ΝΗΣΩΝ</v>
      </c>
      <c r="K179" t="str">
        <f t="shared" si="16"/>
        <v>ΙΟΝΙΩΝ ΝΗΣΩΝ</v>
      </c>
      <c r="L179" t="str">
        <f t="shared" si="17"/>
        <v>ΠΑΞΩΝ</v>
      </c>
      <c r="M179" s="65" t="s">
        <v>418</v>
      </c>
      <c r="N179" t="str">
        <f t="shared" si="19"/>
        <v/>
      </c>
      <c r="O17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</v>
      </c>
    </row>
    <row r="180" spans="1:15" x14ac:dyDescent="0.3">
      <c r="A180" s="77">
        <v>179</v>
      </c>
      <c r="B180" t="s">
        <v>408</v>
      </c>
      <c r="C180" t="s">
        <v>383</v>
      </c>
      <c r="D180" t="s">
        <v>217</v>
      </c>
      <c r="E180" t="s">
        <v>718</v>
      </c>
      <c r="F180">
        <v>13918</v>
      </c>
      <c r="G180" t="str">
        <f>LOOKUP(B180,ΠΕΡΙΦΕΡΕΙΑ!$A$2:$A$14,ΠΕΡΙΦΕΡΕΙΑ!$B$2:$B$14)</f>
        <v>Μερική</v>
      </c>
      <c r="H180">
        <f t="shared" si="14"/>
        <v>179</v>
      </c>
      <c r="I180">
        <f t="shared" si="15"/>
        <v>179</v>
      </c>
      <c r="J180" t="str">
        <f t="shared" si="18"/>
        <v>ΑΛΕΞΑΝΔΡΕΙΑΣ - ΚΕΝΤΡΙΚΗΣ ΜΑΚΕΔΟΝΙΑΣ</v>
      </c>
      <c r="K180" t="str">
        <f t="shared" si="16"/>
        <v>ΚΕΝΤΡΙΚΗΣ ΜΑΚΕΔΟΝΙΑΣ</v>
      </c>
      <c r="L180" t="str">
        <f t="shared" si="17"/>
        <v>ΑΛΕΞΑΝΔΡΕΙΑΣ</v>
      </c>
      <c r="M180" s="65" t="s">
        <v>417</v>
      </c>
      <c r="N180" t="str">
        <f t="shared" si="19"/>
        <v xml:space="preserve">ΚΕΝΤΡΙΚΗΣ ΜΑΚΕΔΟΝΙΑΣ - ΑΛΕΞΑΝΔΡΕΙΑΣ, </v>
      </c>
      <c r="O18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</v>
      </c>
    </row>
    <row r="181" spans="1:15" x14ac:dyDescent="0.3">
      <c r="A181" s="77">
        <v>180</v>
      </c>
      <c r="B181" t="s">
        <v>408</v>
      </c>
      <c r="C181" t="s">
        <v>238</v>
      </c>
      <c r="D181" t="s">
        <v>236</v>
      </c>
      <c r="E181" t="s">
        <v>719</v>
      </c>
      <c r="F181">
        <v>13952</v>
      </c>
      <c r="G181" t="str">
        <f>LOOKUP(B181,ΠΕΡΙΦΕΡΕΙΑ!$A$2:$A$14,ΠΕΡΙΦΕΡΕΙΑ!$B$2:$B$14)</f>
        <v>Μερική</v>
      </c>
      <c r="H181">
        <f t="shared" si="14"/>
        <v>180</v>
      </c>
      <c r="I181">
        <f t="shared" si="15"/>
        <v>180</v>
      </c>
      <c r="J181" t="str">
        <f t="shared" si="18"/>
        <v>ΑΛΜΩΠΙΑΣ - ΚΕΝΤΡΙΚΗΣ ΜΑΚΕΔΟΝΙΑΣ</v>
      </c>
      <c r="K181" t="str">
        <f t="shared" si="16"/>
        <v>ΚΕΝΤΡΙΚΗΣ ΜΑΚΕΔΟΝΙΑΣ</v>
      </c>
      <c r="L181" t="str">
        <f t="shared" si="17"/>
        <v>ΑΛΜΩΠΙΑΣ</v>
      </c>
      <c r="M181" s="65" t="s">
        <v>417</v>
      </c>
      <c r="N181" t="str">
        <f t="shared" si="19"/>
        <v xml:space="preserve">ΚΕΝΤΡΙΚΗΣ ΜΑΚΕΔΟΝΙΑΣ - ΑΛΜΩΠΙΑΣ, </v>
      </c>
      <c r="O18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</v>
      </c>
    </row>
    <row r="182" spans="1:15" x14ac:dyDescent="0.3">
      <c r="A182" s="77">
        <v>181</v>
      </c>
      <c r="B182" t="s">
        <v>408</v>
      </c>
      <c r="C182" t="s">
        <v>225</v>
      </c>
      <c r="D182" t="s">
        <v>220</v>
      </c>
      <c r="E182" t="s">
        <v>720</v>
      </c>
      <c r="F182">
        <v>13968</v>
      </c>
      <c r="G182" t="str">
        <f>LOOKUP(B182,ΠΕΡΙΦΕΡΕΙΑ!$A$2:$A$14,ΠΕΡΙΦΕΡΕΙΑ!$B$2:$B$14)</f>
        <v>Μερική</v>
      </c>
      <c r="H182">
        <f t="shared" si="14"/>
        <v>181</v>
      </c>
      <c r="I182">
        <f t="shared" si="15"/>
        <v>181</v>
      </c>
      <c r="J182" t="str">
        <f t="shared" si="18"/>
        <v>ΑΜΠΕΛΟΚΗΠΩΝ – ΜΕΝΕΜΕΝΗΣ - ΚΕΝΤΡΙΚΗΣ ΜΑΚΕΔΟΝΙΑΣ</v>
      </c>
      <c r="K182" t="str">
        <f t="shared" si="16"/>
        <v>ΚΕΝΤΡΙΚΗΣ ΜΑΚΕΔΟΝΙΑΣ</v>
      </c>
      <c r="L182" t="str">
        <f t="shared" si="17"/>
        <v>ΑΜΠΕΛΟΚΗΠΩΝ – ΜΕΝΕΜΕΝΗΣ</v>
      </c>
      <c r="M182" s="65" t="s">
        <v>417</v>
      </c>
      <c r="N182" t="str">
        <f t="shared" si="19"/>
        <v xml:space="preserve">ΚΕΝΤΡΙΚΗΣ ΜΑΚΕΔΟΝΙΑΣ - ΑΜΠΕΛΟΚΗΠΩΝ – ΜΕΝΕΜΕΝΗΣ, </v>
      </c>
      <c r="O18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</v>
      </c>
    </row>
    <row r="183" spans="1:15" x14ac:dyDescent="0.3">
      <c r="A183" s="77">
        <v>182</v>
      </c>
      <c r="B183" t="s">
        <v>408</v>
      </c>
      <c r="C183" t="s">
        <v>248</v>
      </c>
      <c r="D183" t="s">
        <v>243</v>
      </c>
      <c r="E183" t="s">
        <v>721</v>
      </c>
      <c r="F183">
        <v>13976</v>
      </c>
      <c r="G183" t="str">
        <f>LOOKUP(B183,ΠΕΡΙΦΕΡΕΙΑ!$A$2:$A$14,ΠΕΡΙΦΕΡΕΙΑ!$B$2:$B$14)</f>
        <v>Μερική</v>
      </c>
      <c r="H183">
        <f t="shared" si="14"/>
        <v>182</v>
      </c>
      <c r="I183">
        <f t="shared" si="15"/>
        <v>182</v>
      </c>
      <c r="J183" t="str">
        <f t="shared" si="18"/>
        <v>ΑΜΦΙΠΟΛΗΣ - ΚΕΝΤΡΙΚΗΣ ΜΑΚΕΔΟΝΙΑΣ</v>
      </c>
      <c r="K183" t="str">
        <f t="shared" si="16"/>
        <v>ΚΕΝΤΡΙΚΗΣ ΜΑΚΕΔΟΝΙΑΣ</v>
      </c>
      <c r="L183" t="str">
        <f t="shared" si="17"/>
        <v>ΑΜΦΙΠΟΛΗΣ</v>
      </c>
      <c r="M183" s="65" t="s">
        <v>418</v>
      </c>
      <c r="N183" t="str">
        <f t="shared" si="19"/>
        <v/>
      </c>
      <c r="O18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</v>
      </c>
    </row>
    <row r="184" spans="1:15" x14ac:dyDescent="0.3">
      <c r="A184" s="77">
        <v>183</v>
      </c>
      <c r="B184" t="s">
        <v>408</v>
      </c>
      <c r="C184" t="s">
        <v>385</v>
      </c>
      <c r="D184" t="s">
        <v>250</v>
      </c>
      <c r="E184" t="s">
        <v>722</v>
      </c>
      <c r="F184">
        <v>13996</v>
      </c>
      <c r="G184" t="str">
        <f>LOOKUP(B184,ΠΕΡΙΦΕΡΕΙΑ!$A$2:$A$14,ΠΕΡΙΦΕΡΕΙΑ!$B$2:$B$14)</f>
        <v>Μερική</v>
      </c>
      <c r="H184">
        <f t="shared" si="14"/>
        <v>183</v>
      </c>
      <c r="I184">
        <f t="shared" si="15"/>
        <v>183</v>
      </c>
      <c r="J184" t="str">
        <f t="shared" si="18"/>
        <v>ΑΡΙΣΤΟΤΕΛΗ - ΚΕΝΤΡΙΚΗΣ ΜΑΚΕΔΟΝΙΑΣ</v>
      </c>
      <c r="K184" t="str">
        <f t="shared" si="16"/>
        <v>ΚΕΝΤΡΙΚΗΣ ΜΑΚΕΔΟΝΙΑΣ</v>
      </c>
      <c r="L184" t="str">
        <f t="shared" si="17"/>
        <v>ΑΡΙΣΤΟΤΕΛΗ</v>
      </c>
      <c r="M184" s="65" t="s">
        <v>418</v>
      </c>
      <c r="N184" t="str">
        <f t="shared" si="19"/>
        <v/>
      </c>
      <c r="O18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</v>
      </c>
    </row>
    <row r="185" spans="1:15" x14ac:dyDescent="0.3">
      <c r="A185" s="77">
        <v>184</v>
      </c>
      <c r="B185" t="s">
        <v>408</v>
      </c>
      <c r="C185" t="s">
        <v>383</v>
      </c>
      <c r="D185" t="s">
        <v>218</v>
      </c>
      <c r="E185" t="s">
        <v>723</v>
      </c>
      <c r="F185">
        <v>14014</v>
      </c>
      <c r="G185" t="str">
        <f>LOOKUP(B185,ΠΕΡΙΦΕΡΕΙΑ!$A$2:$A$14,ΠΕΡΙΦΕΡΕΙΑ!$B$2:$B$14)</f>
        <v>Μερική</v>
      </c>
      <c r="H185">
        <f t="shared" si="14"/>
        <v>184</v>
      </c>
      <c r="I185">
        <f t="shared" si="15"/>
        <v>184</v>
      </c>
      <c r="J185" t="str">
        <f t="shared" si="18"/>
        <v>ΒΕΡΟΙΑΣ - ΚΕΝΤΡΙΚΗΣ ΜΑΚΕΔΟΝΙΑΣ</v>
      </c>
      <c r="K185" t="str">
        <f t="shared" si="16"/>
        <v>ΚΕΝΤΡΙΚΗΣ ΜΑΚΕΔΟΝΙΑΣ</v>
      </c>
      <c r="L185" t="str">
        <f t="shared" si="17"/>
        <v>ΒΕΡΟΙΑΣ</v>
      </c>
      <c r="M185" s="65" t="s">
        <v>417</v>
      </c>
      <c r="N185" t="str">
        <f t="shared" si="19"/>
        <v xml:space="preserve">ΚΕΝΤΡΙΚΗΣ ΜΑΚΕΔΟΝΙΑΣ - ΒΕΡΟΙΑΣ, </v>
      </c>
      <c r="O18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</v>
      </c>
    </row>
    <row r="186" spans="1:15" x14ac:dyDescent="0.3">
      <c r="A186" s="77">
        <v>185</v>
      </c>
      <c r="B186" t="s">
        <v>408</v>
      </c>
      <c r="C186" t="s">
        <v>248</v>
      </c>
      <c r="D186" t="s">
        <v>244</v>
      </c>
      <c r="E186" t="s">
        <v>724</v>
      </c>
      <c r="F186">
        <v>14018</v>
      </c>
      <c r="G186" t="str">
        <f>LOOKUP(B186,ΠΕΡΙΦΕΡΕΙΑ!$A$2:$A$14,ΠΕΡΙΦΕΡΕΙΑ!$B$2:$B$14)</f>
        <v>Μερική</v>
      </c>
      <c r="H186">
        <f t="shared" si="14"/>
        <v>185</v>
      </c>
      <c r="I186">
        <f t="shared" si="15"/>
        <v>185</v>
      </c>
      <c r="J186" t="str">
        <f t="shared" si="18"/>
        <v>ΒΙΣΑΛΤΙΑΣ - ΚΕΝΤΡΙΚΗΣ ΜΑΚΕΔΟΝΙΑΣ</v>
      </c>
      <c r="K186" t="str">
        <f t="shared" si="16"/>
        <v>ΚΕΝΤΡΙΚΗΣ ΜΑΚΕΔΟΝΙΑΣ</v>
      </c>
      <c r="L186" t="str">
        <f t="shared" si="17"/>
        <v>ΒΙΣΑΛΤΙΑΣ</v>
      </c>
      <c r="M186" s="65" t="s">
        <v>418</v>
      </c>
      <c r="N186" t="str">
        <f t="shared" si="19"/>
        <v/>
      </c>
      <c r="O18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</v>
      </c>
    </row>
    <row r="187" spans="1:15" x14ac:dyDescent="0.3">
      <c r="A187" s="77">
        <v>186</v>
      </c>
      <c r="B187" t="s">
        <v>408</v>
      </c>
      <c r="C187" t="s">
        <v>225</v>
      </c>
      <c r="D187" t="s">
        <v>221</v>
      </c>
      <c r="E187" t="s">
        <v>725</v>
      </c>
      <c r="F187">
        <v>14030</v>
      </c>
      <c r="G187" t="str">
        <f>LOOKUP(B187,ΠΕΡΙΦΕΡΕΙΑ!$A$2:$A$14,ΠΕΡΙΦΕΡΕΙΑ!$B$2:$B$14)</f>
        <v>Μερική</v>
      </c>
      <c r="H187">
        <f t="shared" si="14"/>
        <v>186</v>
      </c>
      <c r="I187">
        <f t="shared" si="15"/>
        <v>186</v>
      </c>
      <c r="J187" t="str">
        <f t="shared" si="18"/>
        <v>ΒΟΛΒΗΣ - ΚΕΝΤΡΙΚΗΣ ΜΑΚΕΔΟΝΙΑΣ</v>
      </c>
      <c r="K187" t="str">
        <f t="shared" si="16"/>
        <v>ΚΕΝΤΡΙΚΗΣ ΜΑΚΕΔΟΝΙΑΣ</v>
      </c>
      <c r="L187" t="str">
        <f t="shared" si="17"/>
        <v>ΒΟΛΒΗΣ</v>
      </c>
      <c r="M187" s="65" t="s">
        <v>417</v>
      </c>
      <c r="N187" t="str">
        <f t="shared" si="19"/>
        <v xml:space="preserve">ΚΕΝΤΡΙΚΗΣ ΜΑΚΕΔΟΝΙΑΣ - ΒΟΛΒΗΣ, </v>
      </c>
      <c r="O18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</v>
      </c>
    </row>
    <row r="188" spans="1:15" x14ac:dyDescent="0.3">
      <c r="A188" s="77">
        <v>187</v>
      </c>
      <c r="B188" t="s">
        <v>408</v>
      </c>
      <c r="C188" t="s">
        <v>225</v>
      </c>
      <c r="D188" t="s">
        <v>222</v>
      </c>
      <c r="E188" t="s">
        <v>726</v>
      </c>
      <c r="F188">
        <v>14050</v>
      </c>
      <c r="G188" t="str">
        <f>LOOKUP(B188,ΠΕΡΙΦΕΡΕΙΑ!$A$2:$A$14,ΠΕΡΙΦΕΡΕΙΑ!$B$2:$B$14)</f>
        <v>Μερική</v>
      </c>
      <c r="H188">
        <f t="shared" si="14"/>
        <v>187</v>
      </c>
      <c r="I188">
        <f t="shared" si="15"/>
        <v>187</v>
      </c>
      <c r="J188" t="str">
        <f t="shared" si="18"/>
        <v>ΔΕΛΤΑ - ΚΕΝΤΡΙΚΗΣ ΜΑΚΕΔΟΝΙΑΣ</v>
      </c>
      <c r="K188" t="str">
        <f t="shared" si="16"/>
        <v>ΚΕΝΤΡΙΚΗΣ ΜΑΚΕΔΟΝΙΑΣ</v>
      </c>
      <c r="L188" t="str">
        <f t="shared" si="17"/>
        <v>ΔΕΛΤΑ</v>
      </c>
      <c r="M188" s="65" t="s">
        <v>417</v>
      </c>
      <c r="N188" t="str">
        <f t="shared" si="19"/>
        <v xml:space="preserve">ΚΕΝΤΡΙΚΗΣ ΜΑΚΕΔΟΝΙΑΣ - ΔΕΛΤΑ, </v>
      </c>
      <c r="O18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</v>
      </c>
    </row>
    <row r="189" spans="1:15" x14ac:dyDescent="0.3">
      <c r="A189" s="77">
        <v>188</v>
      </c>
      <c r="B189" t="s">
        <v>408</v>
      </c>
      <c r="C189" t="s">
        <v>384</v>
      </c>
      <c r="D189" t="s">
        <v>240</v>
      </c>
      <c r="E189" t="s">
        <v>727</v>
      </c>
      <c r="F189">
        <v>14062</v>
      </c>
      <c r="G189" t="str">
        <f>LOOKUP(B189,ΠΕΡΙΦΕΡΕΙΑ!$A$2:$A$14,ΠΕΡΙΦΕΡΕΙΑ!$B$2:$B$14)</f>
        <v>Μερική</v>
      </c>
      <c r="H189">
        <f t="shared" si="14"/>
        <v>188</v>
      </c>
      <c r="I189">
        <f t="shared" si="15"/>
        <v>188</v>
      </c>
      <c r="J189" t="str">
        <f t="shared" si="18"/>
        <v>ΔΙΟΥ – ΟΛΥΜΠΟΥ - ΚΕΝΤΡΙΚΗΣ ΜΑΚΕΔΟΝΙΑΣ</v>
      </c>
      <c r="K189" t="str">
        <f t="shared" si="16"/>
        <v>ΚΕΝΤΡΙΚΗΣ ΜΑΚΕΔΟΝΙΑΣ</v>
      </c>
      <c r="L189" t="str">
        <f t="shared" si="17"/>
        <v>ΔΙΟΥ – ΟΛΥΜΠΟΥ</v>
      </c>
      <c r="M189" s="65" t="s">
        <v>417</v>
      </c>
      <c r="N189" t="str">
        <f t="shared" si="19"/>
        <v xml:space="preserve">ΚΕΝΤΡΙΚΗΣ ΜΑΚΕΔΟΝΙΑΣ - ΔΙΟΥ – ΟΛΥΜΠΟΥ, </v>
      </c>
      <c r="O18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</v>
      </c>
    </row>
    <row r="190" spans="1:15" x14ac:dyDescent="0.3">
      <c r="A190" s="77">
        <v>189</v>
      </c>
      <c r="B190" t="s">
        <v>408</v>
      </c>
      <c r="C190" t="s">
        <v>238</v>
      </c>
      <c r="D190" t="s">
        <v>237</v>
      </c>
      <c r="E190" t="s">
        <v>728</v>
      </c>
      <c r="F190">
        <v>14080</v>
      </c>
      <c r="G190" t="str">
        <f>LOOKUP(B190,ΠΕΡΙΦΕΡΕΙΑ!$A$2:$A$14,ΠΕΡΙΦΕΡΕΙΑ!$B$2:$B$14)</f>
        <v>Μερική</v>
      </c>
      <c r="H190">
        <f t="shared" si="14"/>
        <v>189</v>
      </c>
      <c r="I190">
        <f t="shared" si="15"/>
        <v>189</v>
      </c>
      <c r="J190" t="str">
        <f t="shared" si="18"/>
        <v>ΕΔΕΣΣΑΣ - ΚΕΝΤΡΙΚΗΣ ΜΑΚΕΔΟΝΙΑΣ</v>
      </c>
      <c r="K190" t="str">
        <f t="shared" si="16"/>
        <v>ΚΕΝΤΡΙΚΗΣ ΜΑΚΕΔΟΝΙΑΣ</v>
      </c>
      <c r="L190" t="str">
        <f t="shared" si="17"/>
        <v>ΕΔΕΣΣΑΣ</v>
      </c>
      <c r="M190" s="65" t="s">
        <v>417</v>
      </c>
      <c r="N190" t="str">
        <f t="shared" si="19"/>
        <v xml:space="preserve">ΚΕΝΤΡΙΚΗΣ ΜΑΚΕΔΟΝΙΑΣ - ΕΔΕΣΣΑΣ, </v>
      </c>
      <c r="O19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</v>
      </c>
    </row>
    <row r="191" spans="1:15" x14ac:dyDescent="0.3">
      <c r="A191" s="77">
        <v>190</v>
      </c>
      <c r="B191" t="s">
        <v>408</v>
      </c>
      <c r="C191" t="s">
        <v>248</v>
      </c>
      <c r="D191" t="s">
        <v>245</v>
      </c>
      <c r="E191" t="s">
        <v>729</v>
      </c>
      <c r="F191">
        <v>14088</v>
      </c>
      <c r="G191" t="str">
        <f>LOOKUP(B191,ΠΕΡΙΦΕΡΕΙΑ!$A$2:$A$14,ΠΕΡΙΦΕΡΕΙΑ!$B$2:$B$14)</f>
        <v>Μερική</v>
      </c>
      <c r="H191">
        <f t="shared" si="14"/>
        <v>190</v>
      </c>
      <c r="I191">
        <f t="shared" si="15"/>
        <v>190</v>
      </c>
      <c r="J191" t="str">
        <f t="shared" si="18"/>
        <v>ΕΜΜΑΝΟΥΗΛ ΠΑΠΠΑ - ΚΕΝΤΡΙΚΗΣ ΜΑΚΕΔΟΝΙΑΣ</v>
      </c>
      <c r="K191" t="str">
        <f t="shared" si="16"/>
        <v>ΚΕΝΤΡΙΚΗΣ ΜΑΚΕΔΟΝΙΑΣ</v>
      </c>
      <c r="L191" t="str">
        <f t="shared" si="17"/>
        <v>ΕΜΜΑΝΟΥΗΛ ΠΑΠΠΑ</v>
      </c>
      <c r="M191" s="65" t="s">
        <v>417</v>
      </c>
      <c r="N191" t="str">
        <f t="shared" si="19"/>
        <v xml:space="preserve">ΚΕΝΤΡΙΚΗΣ ΜΑΚΕΔΟΝΙΑΣ - ΕΜΜΑΝΟΥΗΛ ΠΑΠΠΑ, </v>
      </c>
      <c r="O19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</v>
      </c>
    </row>
    <row r="192" spans="1:15" x14ac:dyDescent="0.3">
      <c r="A192" s="77">
        <v>191</v>
      </c>
      <c r="B192" t="s">
        <v>408</v>
      </c>
      <c r="C192" t="s">
        <v>248</v>
      </c>
      <c r="D192" t="s">
        <v>246</v>
      </c>
      <c r="E192" t="s">
        <v>730</v>
      </c>
      <c r="F192">
        <v>13914</v>
      </c>
      <c r="G192" t="str">
        <f>LOOKUP(B192,ΠΕΡΙΦΕΡΕΙΑ!$A$2:$A$14,ΠΕΡΙΦΕΡΕΙΑ!$B$2:$B$14)</f>
        <v>Μερική</v>
      </c>
      <c r="H192">
        <f t="shared" si="14"/>
        <v>191</v>
      </c>
      <c r="I192">
        <f t="shared" si="15"/>
        <v>191</v>
      </c>
      <c r="J192" t="str">
        <f t="shared" si="18"/>
        <v>ΗΡΑΚΛΕΙΑΣ - ΚΕΝΤΡΙΚΗΣ ΜΑΚΕΔΟΝΙΑΣ</v>
      </c>
      <c r="K192" t="str">
        <f t="shared" si="16"/>
        <v>ΚΕΝΤΡΙΚΗΣ ΜΑΚΕΔΟΝΙΑΣ</v>
      </c>
      <c r="L192" t="str">
        <f t="shared" si="17"/>
        <v>ΗΡΑΚΛΕΙΑΣ</v>
      </c>
      <c r="M192" s="65" t="s">
        <v>417</v>
      </c>
      <c r="N192" t="str">
        <f t="shared" si="19"/>
        <v xml:space="preserve">ΚΕΝΤΡΙΚΗΣ ΜΑΚΕΔΟΝΙΑΣ - ΗΡΑΚΛΕΙΑΣ, </v>
      </c>
      <c r="O19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</v>
      </c>
    </row>
    <row r="193" spans="1:15" x14ac:dyDescent="0.3">
      <c r="A193" s="77">
        <v>192</v>
      </c>
      <c r="B193" t="s">
        <v>408</v>
      </c>
      <c r="C193" t="s">
        <v>225</v>
      </c>
      <c r="D193" t="s">
        <v>223</v>
      </c>
      <c r="E193" t="s">
        <v>731</v>
      </c>
      <c r="F193">
        <v>14126</v>
      </c>
      <c r="G193" t="str">
        <f>LOOKUP(B193,ΠΕΡΙΦΕΡΕΙΑ!$A$2:$A$14,ΠΕΡΙΦΕΡΕΙΑ!$B$2:$B$14)</f>
        <v>Μερική</v>
      </c>
      <c r="H193">
        <f t="shared" si="14"/>
        <v>192</v>
      </c>
      <c r="I193">
        <f t="shared" si="15"/>
        <v>192</v>
      </c>
      <c r="J193" t="str">
        <f t="shared" si="18"/>
        <v>ΘΕΡΜΑΪΚΟΥ - ΚΕΝΤΡΙΚΗΣ ΜΑΚΕΔΟΝΙΑΣ</v>
      </c>
      <c r="K193" t="str">
        <f t="shared" si="16"/>
        <v>ΚΕΝΤΡΙΚΗΣ ΜΑΚΕΔΟΝΙΑΣ</v>
      </c>
      <c r="L193" t="str">
        <f t="shared" si="17"/>
        <v>ΘΕΡΜΑΪΚΟΥ</v>
      </c>
      <c r="M193" s="65" t="s">
        <v>417</v>
      </c>
      <c r="N193" t="str">
        <f t="shared" si="19"/>
        <v xml:space="preserve">ΚΕΝΤΡΙΚΗΣ ΜΑΚΕΔΟΝΙΑΣ - ΘΕΡΜΑΪΚΟΥ, </v>
      </c>
      <c r="O19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</v>
      </c>
    </row>
    <row r="194" spans="1:15" x14ac:dyDescent="0.3">
      <c r="A194" s="77">
        <v>193</v>
      </c>
      <c r="B194" t="s">
        <v>408</v>
      </c>
      <c r="C194" t="s">
        <v>225</v>
      </c>
      <c r="D194" t="s">
        <v>224</v>
      </c>
      <c r="E194" t="s">
        <v>732</v>
      </c>
      <c r="F194">
        <v>14128</v>
      </c>
      <c r="G194" t="str">
        <f>LOOKUP(B194,ΠΕΡΙΦΕΡΕΙΑ!$A$2:$A$14,ΠΕΡΙΦΕΡΕΙΑ!$B$2:$B$14)</f>
        <v>Μερική</v>
      </c>
      <c r="H194">
        <f t="shared" ref="H194:H257" si="21">IF(G194="Μερική",A194,"")</f>
        <v>193</v>
      </c>
      <c r="I194">
        <f t="shared" ref="I194:I257" si="22">SMALL(H:H,A194)</f>
        <v>193</v>
      </c>
      <c r="J194" t="str">
        <f t="shared" si="18"/>
        <v>ΘΕΡΜΗΣ - ΚΕΝΤΡΙΚΗΣ ΜΑΚΕΔΟΝΙΑΣ</v>
      </c>
      <c r="K194" t="str">
        <f t="shared" ref="K194:K257" si="23">IF(ISNUMBER(I194),LOOKUP(I194,A:A,B:B),"")</f>
        <v>ΚΕΝΤΡΙΚΗΣ ΜΑΚΕΔΟΝΙΑΣ</v>
      </c>
      <c r="L194" t="str">
        <f t="shared" ref="L194:L257" si="24">IF(ISNUMBER(I194),LOOKUP(I194,A:A,D:D),"")</f>
        <v>ΘΕΡΜΗΣ</v>
      </c>
      <c r="M194" s="65" t="s">
        <v>417</v>
      </c>
      <c r="N194" t="str">
        <f t="shared" si="19"/>
        <v xml:space="preserve">ΚΕΝΤΡΙΚΗΣ ΜΑΚΕΔΟΝΙΑΣ - ΘΕΡΜΗΣ, </v>
      </c>
      <c r="O19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</v>
      </c>
    </row>
    <row r="195" spans="1:15" x14ac:dyDescent="0.3">
      <c r="A195" s="77">
        <v>194</v>
      </c>
      <c r="B195" t="s">
        <v>408</v>
      </c>
      <c r="C195" t="s">
        <v>225</v>
      </c>
      <c r="D195" t="s">
        <v>225</v>
      </c>
      <c r="E195" t="s">
        <v>733</v>
      </c>
      <c r="F195">
        <v>14130</v>
      </c>
      <c r="G195" t="str">
        <f>LOOKUP(B195,ΠΕΡΙΦΕΡΕΙΑ!$A$2:$A$14,ΠΕΡΙΦΕΡΕΙΑ!$B$2:$B$14)</f>
        <v>Μερική</v>
      </c>
      <c r="H195">
        <f t="shared" si="21"/>
        <v>194</v>
      </c>
      <c r="I195">
        <f t="shared" si="22"/>
        <v>194</v>
      </c>
      <c r="J195" t="str">
        <f t="shared" ref="J195:J258" si="25">CONCATENATE(L195," - ",K195)</f>
        <v>ΘΕΣΣΑΛΟΝΙΚΗΣ - ΚΕΝΤΡΙΚΗΣ ΜΑΚΕΔΟΝΙΑΣ</v>
      </c>
      <c r="K195" t="str">
        <f t="shared" si="23"/>
        <v>ΚΕΝΤΡΙΚΗΣ ΜΑΚΕΔΟΝΙΑΣ</v>
      </c>
      <c r="L195" t="str">
        <f t="shared" si="24"/>
        <v>ΘΕΣΣΑΛΟΝΙΚΗΣ</v>
      </c>
      <c r="M195" s="65" t="s">
        <v>417</v>
      </c>
      <c r="N195" t="str">
        <f t="shared" ref="N195:N258" si="26">IF(L195&lt;&gt;"",IF(M195="ΝΑΙ",K195&amp;" - "&amp;L195&amp;", ",""),"")</f>
        <v xml:space="preserve">ΚΕΝΤΡΙΚΗΣ ΜΑΚΕΔΟΝΙΑΣ - ΘΕΣΣΑΛΟΝΙΚΗΣ, </v>
      </c>
      <c r="O19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</v>
      </c>
    </row>
    <row r="196" spans="1:15" x14ac:dyDescent="0.3">
      <c r="A196" s="77">
        <v>195</v>
      </c>
      <c r="B196" t="s">
        <v>408</v>
      </c>
      <c r="C196" t="s">
        <v>225</v>
      </c>
      <c r="D196" t="s">
        <v>226</v>
      </c>
      <c r="E196" t="s">
        <v>734</v>
      </c>
      <c r="F196">
        <v>14176</v>
      </c>
      <c r="G196" t="str">
        <f>LOOKUP(B196,ΠΕΡΙΦΕΡΕΙΑ!$A$2:$A$14,ΠΕΡΙΦΕΡΕΙΑ!$B$2:$B$14)</f>
        <v>Μερική</v>
      </c>
      <c r="H196">
        <f t="shared" si="21"/>
        <v>195</v>
      </c>
      <c r="I196">
        <f t="shared" si="22"/>
        <v>195</v>
      </c>
      <c r="J196" t="str">
        <f t="shared" si="25"/>
        <v>ΚΑΛΑΜΑΡΙΑΣ - ΚΕΝΤΡΙΚΗΣ ΜΑΚΕΔΟΝΙΑΣ</v>
      </c>
      <c r="K196" t="str">
        <f t="shared" si="23"/>
        <v>ΚΕΝΤΡΙΚΗΣ ΜΑΚΕΔΟΝΙΑΣ</v>
      </c>
      <c r="L196" t="str">
        <f t="shared" si="24"/>
        <v>ΚΑΛΑΜΑΡΙΑΣ</v>
      </c>
      <c r="M196" s="65" t="s">
        <v>417</v>
      </c>
      <c r="N196" t="str">
        <f t="shared" si="26"/>
        <v xml:space="preserve">ΚΕΝΤΡΙΚΗΣ ΜΑΚΕΔΟΝΙΑΣ - ΚΑΛΑΜΑΡΙΑΣ, </v>
      </c>
      <c r="O196" t="str">
        <f t="shared" ref="O196:O259" si="27">O195&amp;N196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7" spans="1:15" x14ac:dyDescent="0.3">
      <c r="A197" s="77">
        <v>196</v>
      </c>
      <c r="B197" t="s">
        <v>408</v>
      </c>
      <c r="C197" t="s">
        <v>385</v>
      </c>
      <c r="D197" t="s">
        <v>251</v>
      </c>
      <c r="E197" t="s">
        <v>735</v>
      </c>
      <c r="F197">
        <v>14192</v>
      </c>
      <c r="G197" t="str">
        <f>LOOKUP(B197,ΠΕΡΙΦΕΡΕΙΑ!$A$2:$A$14,ΠΕΡΙΦΕΡΕΙΑ!$B$2:$B$14)</f>
        <v>Μερική</v>
      </c>
      <c r="H197">
        <f t="shared" si="21"/>
        <v>196</v>
      </c>
      <c r="I197">
        <f t="shared" si="22"/>
        <v>196</v>
      </c>
      <c r="J197" t="str">
        <f t="shared" si="25"/>
        <v>ΚΑΣΣΑΝΔΡΑΣ - ΚΕΝΤΡΙΚΗΣ ΜΑΚΕΔΟΝΙΑΣ</v>
      </c>
      <c r="K197" t="str">
        <f t="shared" si="23"/>
        <v>ΚΕΝΤΡΙΚΗΣ ΜΑΚΕΔΟΝΙΑΣ</v>
      </c>
      <c r="L197" t="str">
        <f t="shared" si="24"/>
        <v>ΚΑΣΣΑΝΔΡΑΣ</v>
      </c>
      <c r="M197" s="65" t="s">
        <v>418</v>
      </c>
      <c r="N197" t="str">
        <f t="shared" si="26"/>
        <v/>
      </c>
      <c r="O19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8" spans="1:15" x14ac:dyDescent="0.3">
      <c r="A198" s="77">
        <v>197</v>
      </c>
      <c r="B198" t="s">
        <v>408</v>
      </c>
      <c r="C198" t="s">
        <v>384</v>
      </c>
      <c r="D198" t="s">
        <v>241</v>
      </c>
      <c r="E198" t="s">
        <v>736</v>
      </c>
      <c r="F198">
        <v>14200</v>
      </c>
      <c r="G198" t="str">
        <f>LOOKUP(B198,ΠΕΡΙΦΕΡΕΙΑ!$A$2:$A$14,ΠΕΡΙΦΕΡΕΙΑ!$B$2:$B$14)</f>
        <v>Μερική</v>
      </c>
      <c r="H198">
        <f t="shared" si="21"/>
        <v>197</v>
      </c>
      <c r="I198">
        <f t="shared" si="22"/>
        <v>197</v>
      </c>
      <c r="J198" t="str">
        <f t="shared" si="25"/>
        <v>ΚΑΤΕΡΙΝΗΣ - ΚΕΝΤΡΙΚΗΣ ΜΑΚΕΔΟΝΙΑΣ</v>
      </c>
      <c r="K198" t="str">
        <f t="shared" si="23"/>
        <v>ΚΕΝΤΡΙΚΗΣ ΜΑΚΕΔΟΝΙΑΣ</v>
      </c>
      <c r="L198" t="str">
        <f t="shared" si="24"/>
        <v>ΚΑΤΕΡΙΝΗΣ</v>
      </c>
      <c r="M198" s="65" t="s">
        <v>417</v>
      </c>
      <c r="N198" t="str">
        <f t="shared" si="26"/>
        <v xml:space="preserve">ΚΕΝΤΡΙΚΗΣ ΜΑΚΕΔΟΝΙΑΣ - ΚΑΤΕΡΙΝΗΣ, </v>
      </c>
      <c r="O19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</v>
      </c>
    </row>
    <row r="199" spans="1:15" x14ac:dyDescent="0.3">
      <c r="A199" s="77">
        <v>198</v>
      </c>
      <c r="B199" t="s">
        <v>408</v>
      </c>
      <c r="C199" t="s">
        <v>234</v>
      </c>
      <c r="D199" t="s">
        <v>234</v>
      </c>
      <c r="E199" t="s">
        <v>737</v>
      </c>
      <c r="F199">
        <v>14212</v>
      </c>
      <c r="G199" t="str">
        <f>LOOKUP(B199,ΠΕΡΙΦΕΡΕΙΑ!$A$2:$A$14,ΠΕΡΙΦΕΡΕΙΑ!$B$2:$B$14)</f>
        <v>Μερική</v>
      </c>
      <c r="H199">
        <f t="shared" si="21"/>
        <v>198</v>
      </c>
      <c r="I199">
        <f t="shared" si="22"/>
        <v>198</v>
      </c>
      <c r="J199" t="str">
        <f t="shared" si="25"/>
        <v>ΚΙΛΚΙΣ - ΚΕΝΤΡΙΚΗΣ ΜΑΚΕΔΟΝΙΑΣ</v>
      </c>
      <c r="K199" t="str">
        <f t="shared" si="23"/>
        <v>ΚΕΝΤΡΙΚΗΣ ΜΑΚΕΔΟΝΙΑΣ</v>
      </c>
      <c r="L199" t="str">
        <f t="shared" si="24"/>
        <v>ΚΙΛΚΙΣ</v>
      </c>
      <c r="M199" s="65" t="s">
        <v>417</v>
      </c>
      <c r="N199" t="str">
        <f t="shared" si="26"/>
        <v xml:space="preserve">ΚΕΝΤΡΙΚΗΣ ΜΑΚΕΔΟΝΙΑΣ - ΚΙΛΚΙΣ, </v>
      </c>
      <c r="O19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</v>
      </c>
    </row>
    <row r="200" spans="1:15" x14ac:dyDescent="0.3">
      <c r="A200" s="77">
        <v>199</v>
      </c>
      <c r="B200" t="s">
        <v>408</v>
      </c>
      <c r="C200" t="s">
        <v>225</v>
      </c>
      <c r="D200" t="s">
        <v>227</v>
      </c>
      <c r="E200" t="s">
        <v>738</v>
      </c>
      <c r="F200">
        <v>14224</v>
      </c>
      <c r="G200" t="str">
        <f>LOOKUP(B200,ΠΕΡΙΦΕΡΕΙΑ!$A$2:$A$14,ΠΕΡΙΦΕΡΕΙΑ!$B$2:$B$14)</f>
        <v>Μερική</v>
      </c>
      <c r="H200">
        <f t="shared" si="21"/>
        <v>199</v>
      </c>
      <c r="I200">
        <f t="shared" si="22"/>
        <v>199</v>
      </c>
      <c r="J200" t="str">
        <f t="shared" si="25"/>
        <v>ΚΟΡΔΕΛΙΟΥ – ΕΥΟΣΜΟΥ - ΚΕΝΤΡΙΚΗΣ ΜΑΚΕΔΟΝΙΑΣ</v>
      </c>
      <c r="K200" t="str">
        <f t="shared" si="23"/>
        <v>ΚΕΝΤΡΙΚΗΣ ΜΑΚΕΔΟΝΙΑΣ</v>
      </c>
      <c r="L200" t="str">
        <f t="shared" si="24"/>
        <v>ΚΟΡΔΕΛΙΟΥ – ΕΥΟΣΜΟΥ</v>
      </c>
      <c r="M200" s="65" t="s">
        <v>417</v>
      </c>
      <c r="N200" t="str">
        <f t="shared" si="26"/>
        <v xml:space="preserve">ΚΕΝΤΡΙΚΗΣ ΜΑΚΕΔΟΝΙΑΣ - ΚΟΡΔΕΛΙΟΥ – ΕΥΟΣΜΟΥ, </v>
      </c>
      <c r="O20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</v>
      </c>
    </row>
    <row r="201" spans="1:15" x14ac:dyDescent="0.3">
      <c r="A201" s="77">
        <v>200</v>
      </c>
      <c r="B201" t="s">
        <v>408</v>
      </c>
      <c r="C201" t="s">
        <v>225</v>
      </c>
      <c r="D201" t="s">
        <v>228</v>
      </c>
      <c r="E201" t="s">
        <v>739</v>
      </c>
      <c r="F201">
        <v>14172</v>
      </c>
      <c r="G201" t="str">
        <f>LOOKUP(B201,ΠΕΡΙΦΕΡΕΙΑ!$A$2:$A$14,ΠΕΡΙΦΕΡΕΙΑ!$B$2:$B$14)</f>
        <v>Μερική</v>
      </c>
      <c r="H201">
        <f t="shared" si="21"/>
        <v>200</v>
      </c>
      <c r="I201">
        <f t="shared" si="22"/>
        <v>200</v>
      </c>
      <c r="J201" t="str">
        <f t="shared" si="25"/>
        <v>ΛΑΓΚΑΔΑ - ΚΕΝΤΡΙΚΗΣ ΜΑΚΕΔΟΝΙΑΣ</v>
      </c>
      <c r="K201" t="str">
        <f t="shared" si="23"/>
        <v>ΚΕΝΤΡΙΚΗΣ ΜΑΚΕΔΟΝΙΑΣ</v>
      </c>
      <c r="L201" t="str">
        <f t="shared" si="24"/>
        <v>ΛΑΓΚΑΔΑ</v>
      </c>
      <c r="M201" s="65" t="s">
        <v>417</v>
      </c>
      <c r="N201" t="str">
        <f t="shared" si="26"/>
        <v xml:space="preserve">ΚΕΝΤΡΙΚΗΣ ΜΑΚΕΔΟΝΙΑΣ - ΛΑΓΚΑΔΑ, </v>
      </c>
      <c r="O20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</v>
      </c>
    </row>
    <row r="202" spans="1:15" x14ac:dyDescent="0.3">
      <c r="A202" s="77">
        <v>201</v>
      </c>
      <c r="B202" t="s">
        <v>408</v>
      </c>
      <c r="C202" t="s">
        <v>383</v>
      </c>
      <c r="D202" t="s">
        <v>219</v>
      </c>
      <c r="E202" t="s">
        <v>740</v>
      </c>
      <c r="F202">
        <v>14272</v>
      </c>
      <c r="G202" t="str">
        <f>LOOKUP(B202,ΠΕΡΙΦΕΡΕΙΑ!$A$2:$A$14,ΠΕΡΙΦΕΡΕΙΑ!$B$2:$B$14)</f>
        <v>Μερική</v>
      </c>
      <c r="H202">
        <f t="shared" si="21"/>
        <v>201</v>
      </c>
      <c r="I202">
        <f t="shared" si="22"/>
        <v>201</v>
      </c>
      <c r="J202" t="str">
        <f t="shared" si="25"/>
        <v>ΝΑΟΥΣΑΣ - ΚΕΝΤΡΙΚΗΣ ΜΑΚΕΔΟΝΙΑΣ</v>
      </c>
      <c r="K202" t="str">
        <f t="shared" si="23"/>
        <v>ΚΕΝΤΡΙΚΗΣ ΜΑΚΕΔΟΝΙΑΣ</v>
      </c>
      <c r="L202" t="str">
        <f t="shared" si="24"/>
        <v>ΝΑΟΥΣΑΣ</v>
      </c>
      <c r="M202" s="65" t="s">
        <v>417</v>
      </c>
      <c r="N202" t="str">
        <f t="shared" si="26"/>
        <v xml:space="preserve">ΚΕΝΤΡΙΚΗΣ ΜΑΚΕΔΟΝΙΑΣ - ΝΑΟΥΣΑΣ, </v>
      </c>
      <c r="O20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</v>
      </c>
    </row>
    <row r="203" spans="1:15" x14ac:dyDescent="0.3">
      <c r="A203" s="77">
        <v>202</v>
      </c>
      <c r="B203" t="s">
        <v>408</v>
      </c>
      <c r="C203" t="s">
        <v>225</v>
      </c>
      <c r="D203" t="s">
        <v>229</v>
      </c>
      <c r="E203" t="s">
        <v>741</v>
      </c>
      <c r="F203">
        <v>14332</v>
      </c>
      <c r="G203" t="str">
        <f>LOOKUP(B203,ΠΕΡΙΦΕΡΕΙΑ!$A$2:$A$14,ΠΕΡΙΦΕΡΕΙΑ!$B$2:$B$14)</f>
        <v>Μερική</v>
      </c>
      <c r="H203">
        <f t="shared" si="21"/>
        <v>202</v>
      </c>
      <c r="I203">
        <f t="shared" si="22"/>
        <v>202</v>
      </c>
      <c r="J203" t="str">
        <f t="shared" si="25"/>
        <v>ΝΕΑΠΟΛΗΣ – ΣΥΚΕΩΝ - ΚΕΝΤΡΙΚΗΣ ΜΑΚΕΔΟΝΙΑΣ</v>
      </c>
      <c r="K203" t="str">
        <f t="shared" si="23"/>
        <v>ΚΕΝΤΡΙΚΗΣ ΜΑΚΕΔΟΝΙΑΣ</v>
      </c>
      <c r="L203" t="str">
        <f t="shared" si="24"/>
        <v>ΝΕΑΠΟΛΗΣ – ΣΥΚΕΩΝ</v>
      </c>
      <c r="M203" s="65" t="s">
        <v>417</v>
      </c>
      <c r="N203" t="str">
        <f t="shared" si="26"/>
        <v xml:space="preserve">ΚΕΝΤΡΙΚΗΣ ΜΑΚΕΔΟΝΙΑΣ - ΝΕΑΠΟΛΗΣ – ΣΥΚΕΩΝ, </v>
      </c>
      <c r="O20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4" spans="1:15" x14ac:dyDescent="0.3">
      <c r="A204" s="77">
        <v>203</v>
      </c>
      <c r="B204" t="s">
        <v>408</v>
      </c>
      <c r="C204" t="s">
        <v>248</v>
      </c>
      <c r="D204" t="s">
        <v>247</v>
      </c>
      <c r="E204" t="s">
        <v>742</v>
      </c>
      <c r="F204">
        <v>14334</v>
      </c>
      <c r="G204" t="str">
        <f>LOOKUP(B204,ΠΕΡΙΦΕΡΕΙΑ!$A$2:$A$14,ΠΕΡΙΦΕΡΕΙΑ!$B$2:$B$14)</f>
        <v>Μερική</v>
      </c>
      <c r="H204">
        <f t="shared" si="21"/>
        <v>203</v>
      </c>
      <c r="I204">
        <f t="shared" si="22"/>
        <v>203</v>
      </c>
      <c r="J204" t="str">
        <f t="shared" si="25"/>
        <v>ΝΕΑΣ ΖΙΧΝΗΣ - ΚΕΝΤΡΙΚΗΣ ΜΑΚΕΔΟΝΙΑΣ</v>
      </c>
      <c r="K204" t="str">
        <f t="shared" si="23"/>
        <v>ΚΕΝΤΡΙΚΗΣ ΜΑΚΕΔΟΝΙΑΣ</v>
      </c>
      <c r="L204" t="str">
        <f t="shared" si="24"/>
        <v>ΝΕΑΣ ΖΙΧΝΗΣ</v>
      </c>
      <c r="M204" s="65" t="s">
        <v>418</v>
      </c>
      <c r="N204" t="str">
        <f t="shared" si="26"/>
        <v/>
      </c>
      <c r="O20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5" spans="1:15" x14ac:dyDescent="0.3">
      <c r="A205" s="77">
        <v>204</v>
      </c>
      <c r="B205" t="s">
        <v>408</v>
      </c>
      <c r="C205" t="s">
        <v>385</v>
      </c>
      <c r="D205" t="s">
        <v>252</v>
      </c>
      <c r="E205" t="s">
        <v>743</v>
      </c>
      <c r="F205">
        <v>14318</v>
      </c>
      <c r="G205" t="str">
        <f>LOOKUP(B205,ΠΕΡΙΦΕΡΕΙΑ!$A$2:$A$14,ΠΕΡΙΦΕΡΕΙΑ!$B$2:$B$14)</f>
        <v>Μερική</v>
      </c>
      <c r="H205">
        <f t="shared" si="21"/>
        <v>204</v>
      </c>
      <c r="I205">
        <f t="shared" si="22"/>
        <v>204</v>
      </c>
      <c r="J205" t="str">
        <f t="shared" si="25"/>
        <v>ΝΕΑΣ ΠΡΟΠΟΝΤΙΔΑΣ - ΚΕΝΤΡΙΚΗΣ ΜΑΚΕΔΟΝΙΑΣ</v>
      </c>
      <c r="K205" t="str">
        <f t="shared" si="23"/>
        <v>ΚΕΝΤΡΙΚΗΣ ΜΑΚΕΔΟΝΙΑΣ</v>
      </c>
      <c r="L205" t="str">
        <f t="shared" si="24"/>
        <v>ΝΕΑΣ ΠΡΟΠΟΝΤΙΔΑΣ</v>
      </c>
      <c r="M205" s="65" t="s">
        <v>417</v>
      </c>
      <c r="N205" t="str">
        <f t="shared" si="26"/>
        <v xml:space="preserve">ΚΕΝΤΡΙΚΗΣ ΜΑΚΕΔΟΝΙΑΣ - ΝΕΑΣ ΠΡΟΠΟΝΤΙΔΑΣ, </v>
      </c>
      <c r="O20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</v>
      </c>
    </row>
    <row r="206" spans="1:15" x14ac:dyDescent="0.3">
      <c r="A206" s="77">
        <v>205</v>
      </c>
      <c r="B206" t="s">
        <v>408</v>
      </c>
      <c r="C206" t="s">
        <v>234</v>
      </c>
      <c r="D206" t="s">
        <v>235</v>
      </c>
      <c r="E206" t="s">
        <v>744</v>
      </c>
      <c r="F206">
        <v>14384</v>
      </c>
      <c r="G206" t="str">
        <f>LOOKUP(B206,ΠΕΡΙΦΕΡΕΙΑ!$A$2:$A$14,ΠΕΡΙΦΕΡΕΙΑ!$B$2:$B$14)</f>
        <v>Μερική</v>
      </c>
      <c r="H206">
        <f t="shared" si="21"/>
        <v>205</v>
      </c>
      <c r="I206">
        <f t="shared" si="22"/>
        <v>205</v>
      </c>
      <c r="J206" t="str">
        <f t="shared" si="25"/>
        <v>ΠΑΙΟΝΙΑΣ - ΚΕΝΤΡΙΚΗΣ ΜΑΚΕΔΟΝΙΑΣ</v>
      </c>
      <c r="K206" t="str">
        <f t="shared" si="23"/>
        <v>ΚΕΝΤΡΙΚΗΣ ΜΑΚΕΔΟΝΙΑΣ</v>
      </c>
      <c r="L206" t="str">
        <f t="shared" si="24"/>
        <v>ΠΑΙΟΝΙΑΣ</v>
      </c>
      <c r="M206" s="65" t="s">
        <v>418</v>
      </c>
      <c r="N206" t="str">
        <f t="shared" si="26"/>
        <v/>
      </c>
      <c r="O20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</v>
      </c>
    </row>
    <row r="207" spans="1:15" x14ac:dyDescent="0.3">
      <c r="A207" s="77">
        <v>206</v>
      </c>
      <c r="B207" t="s">
        <v>408</v>
      </c>
      <c r="C207" t="s">
        <v>225</v>
      </c>
      <c r="D207" t="s">
        <v>230</v>
      </c>
      <c r="E207" t="s">
        <v>745</v>
      </c>
      <c r="F207">
        <v>14368</v>
      </c>
      <c r="G207" t="str">
        <f>LOOKUP(B207,ΠΕΡΙΦΕΡΕΙΑ!$A$2:$A$14,ΠΕΡΙΦΕΡΕΙΑ!$B$2:$B$14)</f>
        <v>Μερική</v>
      </c>
      <c r="H207">
        <f t="shared" si="21"/>
        <v>206</v>
      </c>
      <c r="I207">
        <f t="shared" si="22"/>
        <v>206</v>
      </c>
      <c r="J207" t="str">
        <f t="shared" si="25"/>
        <v>ΠΑΥΛΟΥ ΜΕΛΑ - ΚΕΝΤΡΙΚΗΣ ΜΑΚΕΔΟΝΙΑΣ</v>
      </c>
      <c r="K207" t="str">
        <f t="shared" si="23"/>
        <v>ΚΕΝΤΡΙΚΗΣ ΜΑΚΕΔΟΝΙΑΣ</v>
      </c>
      <c r="L207" t="str">
        <f t="shared" si="24"/>
        <v>ΠΑΥΛΟΥ ΜΕΛΑ</v>
      </c>
      <c r="M207" s="65" t="s">
        <v>417</v>
      </c>
      <c r="N207" t="str">
        <f t="shared" si="26"/>
        <v xml:space="preserve">ΚΕΝΤΡΙΚΗΣ ΜΑΚΕΔΟΝΙΑΣ - ΠΑΥΛΟΥ ΜΕΛΑ, </v>
      </c>
      <c r="O20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</v>
      </c>
    </row>
    <row r="208" spans="1:15" x14ac:dyDescent="0.3">
      <c r="A208" s="77">
        <v>207</v>
      </c>
      <c r="B208" t="s">
        <v>408</v>
      </c>
      <c r="C208" t="s">
        <v>238</v>
      </c>
      <c r="D208" t="s">
        <v>238</v>
      </c>
      <c r="E208" t="s">
        <v>746</v>
      </c>
      <c r="F208">
        <v>14382</v>
      </c>
      <c r="G208" t="str">
        <f>LOOKUP(B208,ΠΕΡΙΦΕΡΕΙΑ!$A$2:$A$14,ΠΕΡΙΦΕΡΕΙΑ!$B$2:$B$14)</f>
        <v>Μερική</v>
      </c>
      <c r="H208">
        <f t="shared" si="21"/>
        <v>207</v>
      </c>
      <c r="I208">
        <f t="shared" si="22"/>
        <v>207</v>
      </c>
      <c r="J208" t="str">
        <f t="shared" si="25"/>
        <v>ΠΕΛΛΑΣ - ΚΕΝΤΡΙΚΗΣ ΜΑΚΕΔΟΝΙΑΣ</v>
      </c>
      <c r="K208" t="str">
        <f t="shared" si="23"/>
        <v>ΚΕΝΤΡΙΚΗΣ ΜΑΚΕΔΟΝΙΑΣ</v>
      </c>
      <c r="L208" t="str">
        <f t="shared" si="24"/>
        <v>ΠΕΛΛΑΣ</v>
      </c>
      <c r="M208" s="65" t="s">
        <v>417</v>
      </c>
      <c r="N208" t="str">
        <f t="shared" si="26"/>
        <v xml:space="preserve">ΚΕΝΤΡΙΚΗΣ ΜΑΚΕΔΟΝΙΑΣ - ΠΕΛΛΑΣ, </v>
      </c>
      <c r="O20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</v>
      </c>
    </row>
    <row r="209" spans="1:15" x14ac:dyDescent="0.3">
      <c r="A209" s="77">
        <v>208</v>
      </c>
      <c r="B209" t="s">
        <v>408</v>
      </c>
      <c r="C209" t="s">
        <v>385</v>
      </c>
      <c r="D209" t="s">
        <v>253</v>
      </c>
      <c r="E209" t="s">
        <v>747</v>
      </c>
      <c r="F209">
        <v>14414</v>
      </c>
      <c r="G209" t="str">
        <f>LOOKUP(B209,ΠΕΡΙΦΕΡΕΙΑ!$A$2:$A$14,ΠΕΡΙΦΕΡΕΙΑ!$B$2:$B$14)</f>
        <v>Μερική</v>
      </c>
      <c r="H209">
        <f t="shared" si="21"/>
        <v>208</v>
      </c>
      <c r="I209">
        <f t="shared" si="22"/>
        <v>208</v>
      </c>
      <c r="J209" t="str">
        <f t="shared" si="25"/>
        <v>ΠΟΛΥΓΥΡΟΥ - ΚΕΝΤΡΙΚΗΣ ΜΑΚΕΔΟΝΙΑΣ</v>
      </c>
      <c r="K209" t="str">
        <f t="shared" si="23"/>
        <v>ΚΕΝΤΡΙΚΗΣ ΜΑΚΕΔΟΝΙΑΣ</v>
      </c>
      <c r="L209" t="str">
        <f t="shared" si="24"/>
        <v>ΠΟΛΥΓΥΡΟΥ</v>
      </c>
      <c r="M209" s="65" t="s">
        <v>417</v>
      </c>
      <c r="N209" t="str">
        <f t="shared" si="26"/>
        <v xml:space="preserve">ΚΕΝΤΡΙΚΗΣ ΜΑΚΕΔΟΝΙΑΣ - ΠΟΛΥΓΥΡΟΥ, </v>
      </c>
      <c r="O20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</v>
      </c>
    </row>
    <row r="210" spans="1:15" x14ac:dyDescent="0.3">
      <c r="A210" s="77">
        <v>209</v>
      </c>
      <c r="B210" t="s">
        <v>408</v>
      </c>
      <c r="C210" t="s">
        <v>384</v>
      </c>
      <c r="D210" t="s">
        <v>242</v>
      </c>
      <c r="E210" t="s">
        <v>748</v>
      </c>
      <c r="F210">
        <v>14422</v>
      </c>
      <c r="G210" t="str">
        <f>LOOKUP(B210,ΠΕΡΙΦΕΡΕΙΑ!$A$2:$A$14,ΠΕΡΙΦΕΡΕΙΑ!$B$2:$B$14)</f>
        <v>Μερική</v>
      </c>
      <c r="H210">
        <f t="shared" si="21"/>
        <v>209</v>
      </c>
      <c r="I210">
        <f t="shared" si="22"/>
        <v>209</v>
      </c>
      <c r="J210" t="str">
        <f t="shared" si="25"/>
        <v>ΠΥΔΝΑΣ – ΚΟΛΙΝΔΡΟΥ - ΚΕΝΤΡΙΚΗΣ ΜΑΚΕΔΟΝΙΑΣ</v>
      </c>
      <c r="K210" t="str">
        <f t="shared" si="23"/>
        <v>ΚΕΝΤΡΙΚΗΣ ΜΑΚΕΔΟΝΙΑΣ</v>
      </c>
      <c r="L210" t="str">
        <f t="shared" si="24"/>
        <v>ΠΥΔΝΑΣ – ΚΟΛΙΝΔΡΟΥ</v>
      </c>
      <c r="M210" s="65" t="s">
        <v>417</v>
      </c>
      <c r="N210" t="str">
        <f t="shared" si="26"/>
        <v xml:space="preserve">ΚΕΝΤΡΙΚΗΣ ΜΑΚΕΔΟΝΙΑΣ - ΠΥΔΝΑΣ – ΚΟΛΙΝΔΡΟΥ, </v>
      </c>
      <c r="O21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</v>
      </c>
    </row>
    <row r="211" spans="1:15" x14ac:dyDescent="0.3">
      <c r="A211" s="77">
        <v>210</v>
      </c>
      <c r="B211" t="s">
        <v>408</v>
      </c>
      <c r="C211" t="s">
        <v>225</v>
      </c>
      <c r="D211" t="s">
        <v>231</v>
      </c>
      <c r="E211" t="s">
        <v>749</v>
      </c>
      <c r="F211">
        <v>14424</v>
      </c>
      <c r="G211" t="str">
        <f>LOOKUP(B211,ΠΕΡΙΦΕΡΕΙΑ!$A$2:$A$14,ΠΕΡΙΦΕΡΕΙΑ!$B$2:$B$14)</f>
        <v>Μερική</v>
      </c>
      <c r="H211">
        <f t="shared" si="21"/>
        <v>210</v>
      </c>
      <c r="I211">
        <f t="shared" si="22"/>
        <v>210</v>
      </c>
      <c r="J211" t="str">
        <f t="shared" si="25"/>
        <v>ΠΥΛΑΙΑΣ – ΧΟΡΤΙΑΤΗ - ΚΕΝΤΡΙΚΗΣ ΜΑΚΕΔΟΝΙΑΣ</v>
      </c>
      <c r="K211" t="str">
        <f t="shared" si="23"/>
        <v>ΚΕΝΤΡΙΚΗΣ ΜΑΚΕΔΟΝΙΑΣ</v>
      </c>
      <c r="L211" t="str">
        <f t="shared" si="24"/>
        <v>ΠΥΛΑΙΑΣ – ΧΟΡΤΙΑΤΗ</v>
      </c>
      <c r="M211" s="65" t="s">
        <v>417</v>
      </c>
      <c r="N211" t="str">
        <f t="shared" si="26"/>
        <v xml:space="preserve">ΚΕΝΤΡΙΚΗΣ ΜΑΚΕΔΟΝΙΑΣ - ΠΥΛΑΙΑΣ – ΧΟΡΤΙΑΤΗ, </v>
      </c>
      <c r="O21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</v>
      </c>
    </row>
    <row r="212" spans="1:15" x14ac:dyDescent="0.3">
      <c r="A212" s="77">
        <v>211</v>
      </c>
      <c r="B212" t="s">
        <v>408</v>
      </c>
      <c r="C212" t="s">
        <v>248</v>
      </c>
      <c r="D212" t="s">
        <v>248</v>
      </c>
      <c r="E212" t="s">
        <v>750</v>
      </c>
      <c r="F212">
        <v>14454</v>
      </c>
      <c r="G212" t="str">
        <f>LOOKUP(B212,ΠΕΡΙΦΕΡΕΙΑ!$A$2:$A$14,ΠΕΡΙΦΕΡΕΙΑ!$B$2:$B$14)</f>
        <v>Μερική</v>
      </c>
      <c r="H212">
        <f t="shared" si="21"/>
        <v>211</v>
      </c>
      <c r="I212">
        <f t="shared" si="22"/>
        <v>211</v>
      </c>
      <c r="J212" t="str">
        <f t="shared" si="25"/>
        <v>ΣΕΡΡΩΝ - ΚΕΝΤΡΙΚΗΣ ΜΑΚΕΔΟΝΙΑΣ</v>
      </c>
      <c r="K212" t="str">
        <f t="shared" si="23"/>
        <v>ΚΕΝΤΡΙΚΗΣ ΜΑΚΕΔΟΝΙΑΣ</v>
      </c>
      <c r="L212" t="str">
        <f t="shared" si="24"/>
        <v>ΣΕΡΡΩΝ</v>
      </c>
      <c r="M212" s="65" t="s">
        <v>417</v>
      </c>
      <c r="N212" t="str">
        <f t="shared" si="26"/>
        <v xml:space="preserve">ΚΕΝΤΡΙΚΗΣ ΜΑΚΕΔΟΝΙΑΣ - ΣΕΡΡΩΝ, </v>
      </c>
      <c r="O21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</v>
      </c>
    </row>
    <row r="213" spans="1:15" x14ac:dyDescent="0.3">
      <c r="A213" s="77">
        <v>212</v>
      </c>
      <c r="B213" t="s">
        <v>408</v>
      </c>
      <c r="C213" t="s">
        <v>385</v>
      </c>
      <c r="D213" t="s">
        <v>254</v>
      </c>
      <c r="E213" t="s">
        <v>751</v>
      </c>
      <c r="F213">
        <v>14456</v>
      </c>
      <c r="G213" t="str">
        <f>LOOKUP(B213,ΠΕΡΙΦΕΡΕΙΑ!$A$2:$A$14,ΠΕΡΙΦΕΡΕΙΑ!$B$2:$B$14)</f>
        <v>Μερική</v>
      </c>
      <c r="H213">
        <f t="shared" si="21"/>
        <v>212</v>
      </c>
      <c r="I213">
        <f t="shared" si="22"/>
        <v>212</v>
      </c>
      <c r="J213" t="str">
        <f t="shared" si="25"/>
        <v>ΣΙΘΩΝΙΑΣ - ΚΕΝΤΡΙΚΗΣ ΜΑΚΕΔΟΝΙΑΣ</v>
      </c>
      <c r="K213" t="str">
        <f t="shared" si="23"/>
        <v>ΚΕΝΤΡΙΚΗΣ ΜΑΚΕΔΟΝΙΑΣ</v>
      </c>
      <c r="L213" t="str">
        <f t="shared" si="24"/>
        <v>ΣΙΘΩΝΙΑΣ</v>
      </c>
      <c r="M213" s="65" t="s">
        <v>417</v>
      </c>
      <c r="N213" t="str">
        <f t="shared" si="26"/>
        <v xml:space="preserve">ΚΕΝΤΡΙΚΗΣ ΜΑΚΕΔΟΝΙΑΣ - ΣΙΘΩΝΙΑΣ, </v>
      </c>
      <c r="O21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</v>
      </c>
    </row>
    <row r="214" spans="1:15" x14ac:dyDescent="0.3">
      <c r="A214" s="77">
        <v>213</v>
      </c>
      <c r="B214" t="s">
        <v>408</v>
      </c>
      <c r="C214" t="s">
        <v>248</v>
      </c>
      <c r="D214" t="s">
        <v>249</v>
      </c>
      <c r="E214" t="s">
        <v>752</v>
      </c>
      <c r="F214">
        <v>14462</v>
      </c>
      <c r="G214" t="str">
        <f>LOOKUP(B214,ΠΕΡΙΦΕΡΕΙΑ!$A$2:$A$14,ΠΕΡΙΦΕΡΕΙΑ!$B$2:$B$14)</f>
        <v>Μερική</v>
      </c>
      <c r="H214">
        <f t="shared" si="21"/>
        <v>213</v>
      </c>
      <c r="I214">
        <f t="shared" si="22"/>
        <v>213</v>
      </c>
      <c r="J214" t="str">
        <f t="shared" si="25"/>
        <v>ΣΙΝΤΙΚΗΣ - ΚΕΝΤΡΙΚΗΣ ΜΑΚΕΔΟΝΙΑΣ</v>
      </c>
      <c r="K214" t="str">
        <f t="shared" si="23"/>
        <v>ΚΕΝΤΡΙΚΗΣ ΜΑΚΕΔΟΝΙΑΣ</v>
      </c>
      <c r="L214" t="str">
        <f t="shared" si="24"/>
        <v>ΣΙΝΤΙΚΗΣ</v>
      </c>
      <c r="M214" s="65" t="s">
        <v>418</v>
      </c>
      <c r="N214" t="str">
        <f t="shared" si="26"/>
        <v/>
      </c>
      <c r="O21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</v>
      </c>
    </row>
    <row r="215" spans="1:15" x14ac:dyDescent="0.3">
      <c r="A215" s="77">
        <v>214</v>
      </c>
      <c r="B215" t="s">
        <v>408</v>
      </c>
      <c r="C215" t="s">
        <v>238</v>
      </c>
      <c r="D215" t="s">
        <v>239</v>
      </c>
      <c r="E215" t="s">
        <v>753</v>
      </c>
      <c r="F215">
        <v>14472</v>
      </c>
      <c r="G215" t="str">
        <f>LOOKUP(B215,ΠΕΡΙΦΕΡΕΙΑ!$A$2:$A$14,ΠΕΡΙΦΕΡΕΙΑ!$B$2:$B$14)</f>
        <v>Μερική</v>
      </c>
      <c r="H215">
        <f t="shared" si="21"/>
        <v>214</v>
      </c>
      <c r="I215">
        <f t="shared" si="22"/>
        <v>214</v>
      </c>
      <c r="J215" t="str">
        <f t="shared" si="25"/>
        <v>ΣΚΥΔΡΑΣ - ΚΕΝΤΡΙΚΗΣ ΜΑΚΕΔΟΝΙΑΣ</v>
      </c>
      <c r="K215" t="str">
        <f t="shared" si="23"/>
        <v>ΚΕΝΤΡΙΚΗΣ ΜΑΚΕΔΟΝΙΑΣ</v>
      </c>
      <c r="L215" t="str">
        <f t="shared" si="24"/>
        <v>ΣΚΥΔΡΑΣ</v>
      </c>
      <c r="M215" s="65" t="s">
        <v>417</v>
      </c>
      <c r="N215" t="str">
        <f t="shared" si="26"/>
        <v xml:space="preserve">ΚΕΝΤΡΙΚΗΣ ΜΑΚΕΔΟΝΙΑΣ - ΣΚΥΔΡΑΣ, </v>
      </c>
      <c r="O21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</v>
      </c>
    </row>
    <row r="216" spans="1:15" x14ac:dyDescent="0.3">
      <c r="A216" s="77">
        <v>215</v>
      </c>
      <c r="B216" t="s">
        <v>408</v>
      </c>
      <c r="C216" t="s">
        <v>225</v>
      </c>
      <c r="D216" t="s">
        <v>232</v>
      </c>
      <c r="E216" t="s">
        <v>754</v>
      </c>
      <c r="F216">
        <v>14544</v>
      </c>
      <c r="G216" t="str">
        <f>LOOKUP(B216,ΠΕΡΙΦΕΡΕΙΑ!$A$2:$A$14,ΠΕΡΙΦΕΡΕΙΑ!$B$2:$B$14)</f>
        <v>Μερική</v>
      </c>
      <c r="H216">
        <f t="shared" si="21"/>
        <v>215</v>
      </c>
      <c r="I216">
        <f t="shared" si="22"/>
        <v>215</v>
      </c>
      <c r="J216" t="str">
        <f t="shared" si="25"/>
        <v>ΧΑΛΚΗΔΟΝΟΣ - ΚΕΝΤΡΙΚΗΣ ΜΑΚΕΔΟΝΙΑΣ</v>
      </c>
      <c r="K216" t="str">
        <f t="shared" si="23"/>
        <v>ΚΕΝΤΡΙΚΗΣ ΜΑΚΕΔΟΝΙΑΣ</v>
      </c>
      <c r="L216" t="str">
        <f t="shared" si="24"/>
        <v>ΧΑΛΚΗΔΟΝΟΣ</v>
      </c>
      <c r="M216" s="65" t="s">
        <v>417</v>
      </c>
      <c r="N216" t="str">
        <f t="shared" si="26"/>
        <v xml:space="preserve">ΚΕΝΤΡΙΚΗΣ ΜΑΚΕΔΟΝΙΑΣ - ΧΑΛΚΗΔΟΝΟΣ, </v>
      </c>
      <c r="O21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</v>
      </c>
    </row>
    <row r="217" spans="1:15" x14ac:dyDescent="0.3">
      <c r="A217" s="77">
        <v>216</v>
      </c>
      <c r="B217" t="s">
        <v>408</v>
      </c>
      <c r="C217" t="s">
        <v>225</v>
      </c>
      <c r="D217" t="s">
        <v>233</v>
      </c>
      <c r="E217" t="s">
        <v>755</v>
      </c>
      <c r="F217">
        <v>14534</v>
      </c>
      <c r="G217" t="str">
        <f>LOOKUP(B217,ΠΕΡΙΦΕΡΕΙΑ!$A$2:$A$14,ΠΕΡΙΦΕΡΕΙΑ!$B$2:$B$14)</f>
        <v>Μερική</v>
      </c>
      <c r="H217">
        <f t="shared" si="21"/>
        <v>216</v>
      </c>
      <c r="I217">
        <f t="shared" si="22"/>
        <v>216</v>
      </c>
      <c r="J217" t="str">
        <f t="shared" si="25"/>
        <v>ΩΡΑΙΟΚΑΣΤΡΟΥ - ΚΕΝΤΡΙΚΗΣ ΜΑΚΕΔΟΝΙΑΣ</v>
      </c>
      <c r="K217" t="str">
        <f t="shared" si="23"/>
        <v>ΚΕΝΤΡΙΚΗΣ ΜΑΚΕΔΟΝΙΑΣ</v>
      </c>
      <c r="L217" t="str">
        <f t="shared" si="24"/>
        <v>ΩΡΑΙΟΚΑΣΤΡΟΥ</v>
      </c>
      <c r="M217" s="65" t="s">
        <v>417</v>
      </c>
      <c r="N217" t="str">
        <f t="shared" si="26"/>
        <v xml:space="preserve">ΚΕΝΤΡΙΚΗΣ ΜΑΚΕΔΟΝΙΑΣ - ΩΡΑΙΟΚΑΣΤΡΟΥ, </v>
      </c>
      <c r="O21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</v>
      </c>
    </row>
    <row r="218" spans="1:15" x14ac:dyDescent="0.3">
      <c r="A218" s="77">
        <v>217</v>
      </c>
      <c r="B218" t="s">
        <v>409</v>
      </c>
      <c r="C218" t="s">
        <v>387</v>
      </c>
      <c r="D218" t="s">
        <v>266</v>
      </c>
      <c r="E218" t="s">
        <v>756</v>
      </c>
      <c r="F218">
        <v>14554</v>
      </c>
      <c r="G218" t="str">
        <f>LOOKUP(B218,ΠΕΡΙΦΕΡΕΙΑ!$A$2:$A$14,ΠΕΡΙΦΕΡΕΙΑ!$B$2:$B$14)</f>
        <v>Μερική</v>
      </c>
      <c r="H218">
        <f t="shared" si="21"/>
        <v>217</v>
      </c>
      <c r="I218">
        <f t="shared" si="22"/>
        <v>217</v>
      </c>
      <c r="J218" t="str">
        <f t="shared" si="25"/>
        <v>ΑΓΙΟΥ ΒΑΣΙΛΕΙΟΥ - ΚΡΗΤΗΣ</v>
      </c>
      <c r="K218" t="str">
        <f t="shared" si="23"/>
        <v>ΚΡΗΤΗΣ</v>
      </c>
      <c r="L218" t="str">
        <f t="shared" si="24"/>
        <v>ΑΓΙΟΥ ΒΑΣΙΛΕΙΟΥ</v>
      </c>
      <c r="M218" s="65" t="s">
        <v>418</v>
      </c>
      <c r="N218" t="str">
        <f t="shared" si="26"/>
        <v/>
      </c>
      <c r="O21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</v>
      </c>
    </row>
    <row r="219" spans="1:15" x14ac:dyDescent="0.3">
      <c r="A219" s="77">
        <v>218</v>
      </c>
      <c r="B219" t="s">
        <v>409</v>
      </c>
      <c r="C219" t="s">
        <v>386</v>
      </c>
      <c r="D219" t="s">
        <v>262</v>
      </c>
      <c r="E219" t="s">
        <v>757</v>
      </c>
      <c r="F219">
        <v>13930</v>
      </c>
      <c r="G219" t="str">
        <f>LOOKUP(B219,ΠΕΡΙΦΕΡΕΙΑ!$A$2:$A$14,ΠΕΡΙΦΕΡΕΙΑ!$B$2:$B$14)</f>
        <v>Μερική</v>
      </c>
      <c r="H219">
        <f t="shared" si="21"/>
        <v>218</v>
      </c>
      <c r="I219">
        <f t="shared" si="22"/>
        <v>218</v>
      </c>
      <c r="J219" t="str">
        <f t="shared" si="25"/>
        <v>ΑΓΙΟΥ ΝΙΚΟΛΑΟΥ - ΚΡΗΤΗΣ</v>
      </c>
      <c r="K219" t="str">
        <f t="shared" si="23"/>
        <v>ΚΡΗΤΗΣ</v>
      </c>
      <c r="L219" t="str">
        <f t="shared" si="24"/>
        <v>ΑΓΙΟΥ ΝΙΚΟΛΑΟΥ</v>
      </c>
      <c r="M219" s="65" t="s">
        <v>417</v>
      </c>
      <c r="N219" t="str">
        <f t="shared" si="26"/>
        <v xml:space="preserve">ΚΡΗΤΗΣ - ΑΓΙΟΥ ΝΙΚΟΛΑΟΥ, </v>
      </c>
      <c r="O21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</v>
      </c>
    </row>
    <row r="220" spans="1:15" x14ac:dyDescent="0.3">
      <c r="A220" s="77">
        <v>219</v>
      </c>
      <c r="B220" t="s">
        <v>409</v>
      </c>
      <c r="C220" t="s">
        <v>387</v>
      </c>
      <c r="D220" t="s">
        <v>267</v>
      </c>
      <c r="E220" t="s">
        <v>758</v>
      </c>
      <c r="F220">
        <v>13962</v>
      </c>
      <c r="G220" t="str">
        <f>LOOKUP(B220,ΠΕΡΙΦΕΡΕΙΑ!$A$2:$A$14,ΠΕΡΙΦΕΡΕΙΑ!$B$2:$B$14)</f>
        <v>Μερική</v>
      </c>
      <c r="H220">
        <f t="shared" si="21"/>
        <v>219</v>
      </c>
      <c r="I220">
        <f t="shared" si="22"/>
        <v>219</v>
      </c>
      <c r="J220" t="str">
        <f t="shared" si="25"/>
        <v>ΑΜΑΡΙΟΥ - ΚΡΗΤΗΣ</v>
      </c>
      <c r="K220" t="str">
        <f t="shared" si="23"/>
        <v>ΚΡΗΤΗΣ</v>
      </c>
      <c r="L220" t="str">
        <f t="shared" si="24"/>
        <v>ΑΜΑΡΙΟΥ</v>
      </c>
      <c r="M220" s="65" t="s">
        <v>418</v>
      </c>
      <c r="N220" t="str">
        <f t="shared" si="26"/>
        <v/>
      </c>
      <c r="O22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</v>
      </c>
    </row>
    <row r="221" spans="1:15" x14ac:dyDescent="0.3">
      <c r="A221" s="77">
        <v>220</v>
      </c>
      <c r="B221" t="s">
        <v>409</v>
      </c>
      <c r="C221" t="s">
        <v>387</v>
      </c>
      <c r="D221" t="s">
        <v>268</v>
      </c>
      <c r="E221" t="s">
        <v>759</v>
      </c>
      <c r="F221">
        <v>13908</v>
      </c>
      <c r="G221" t="str">
        <f>LOOKUP(B221,ΠΕΡΙΦΕΡΕΙΑ!$A$2:$A$14,ΠΕΡΙΦΕΡΕΙΑ!$B$2:$B$14)</f>
        <v>Μερική</v>
      </c>
      <c r="H221">
        <f t="shared" si="21"/>
        <v>220</v>
      </c>
      <c r="I221">
        <f t="shared" si="22"/>
        <v>220</v>
      </c>
      <c r="J221" t="str">
        <f t="shared" si="25"/>
        <v>ΑΝΩΓΕΙΩΝ - ΚΡΗΤΗΣ</v>
      </c>
      <c r="K221" t="str">
        <f t="shared" si="23"/>
        <v>ΚΡΗΤΗΣ</v>
      </c>
      <c r="L221" t="str">
        <f t="shared" si="24"/>
        <v>ΑΝΩΓΕΙΩΝ</v>
      </c>
      <c r="M221" s="65" t="s">
        <v>417</v>
      </c>
      <c r="N221" t="str">
        <f t="shared" si="26"/>
        <v xml:space="preserve">ΚΡΗΤΗΣ - ΑΝΩΓΕΙΩΝ, </v>
      </c>
      <c r="O22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</v>
      </c>
    </row>
    <row r="222" spans="1:15" x14ac:dyDescent="0.3">
      <c r="A222" s="77">
        <v>221</v>
      </c>
      <c r="B222" t="s">
        <v>409</v>
      </c>
      <c r="C222" t="s">
        <v>277</v>
      </c>
      <c r="D222" t="s">
        <v>271</v>
      </c>
      <c r="E222" t="s">
        <v>760</v>
      </c>
      <c r="F222">
        <v>13990</v>
      </c>
      <c r="G222" t="str">
        <f>LOOKUP(B222,ΠΕΡΙΦΕΡΕΙΑ!$A$2:$A$14,ΠΕΡΙΦΕΡΕΙΑ!$B$2:$B$14)</f>
        <v>Μερική</v>
      </c>
      <c r="H222">
        <f t="shared" si="21"/>
        <v>221</v>
      </c>
      <c r="I222">
        <f t="shared" si="22"/>
        <v>221</v>
      </c>
      <c r="J222" t="str">
        <f t="shared" si="25"/>
        <v>ΑΠΟΚΟΡΩΝΟΥ - ΚΡΗΤΗΣ</v>
      </c>
      <c r="K222" t="str">
        <f t="shared" si="23"/>
        <v>ΚΡΗΤΗΣ</v>
      </c>
      <c r="L222" t="str">
        <f t="shared" si="24"/>
        <v>ΑΠΟΚΟΡΩΝΟΥ</v>
      </c>
      <c r="M222" s="65" t="s">
        <v>417</v>
      </c>
      <c r="N222" t="str">
        <f t="shared" si="26"/>
        <v xml:space="preserve">ΚΡΗΤΗΣ - ΑΠΟΚΟΡΩΝΟΥ, </v>
      </c>
      <c r="O22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</v>
      </c>
    </row>
    <row r="223" spans="1:15" x14ac:dyDescent="0.3">
      <c r="A223" s="77">
        <v>222</v>
      </c>
      <c r="B223" t="s">
        <v>409</v>
      </c>
      <c r="C223" t="s">
        <v>77</v>
      </c>
      <c r="D223" t="s">
        <v>255</v>
      </c>
      <c r="E223" t="s">
        <v>761</v>
      </c>
      <c r="F223">
        <v>14002</v>
      </c>
      <c r="G223" t="str">
        <f>LOOKUP(B223,ΠΕΡΙΦΕΡΕΙΑ!$A$2:$A$14,ΠΕΡΙΦΕΡΕΙΑ!$B$2:$B$14)</f>
        <v>Μερική</v>
      </c>
      <c r="H223">
        <f t="shared" si="21"/>
        <v>222</v>
      </c>
      <c r="I223">
        <f t="shared" si="22"/>
        <v>222</v>
      </c>
      <c r="J223" t="str">
        <f t="shared" si="25"/>
        <v>ΑΡΧΑΝΩΝ – ΑΣΤΕΡΟΥΣΙΩΝ - ΚΡΗΤΗΣ</v>
      </c>
      <c r="K223" t="str">
        <f t="shared" si="23"/>
        <v>ΚΡΗΤΗΣ</v>
      </c>
      <c r="L223" t="str">
        <f t="shared" si="24"/>
        <v>ΑΡΧΑΝΩΝ – ΑΣΤΕΡΟΥΣΙΩΝ</v>
      </c>
      <c r="M223" s="65" t="s">
        <v>417</v>
      </c>
      <c r="N223" t="str">
        <f t="shared" si="26"/>
        <v xml:space="preserve">ΚΡΗΤΗΣ - ΑΡΧΑΝΩΝ – ΑΣΤΕΡΟΥΣΙΩΝ, </v>
      </c>
      <c r="O22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</v>
      </c>
    </row>
    <row r="224" spans="1:15" x14ac:dyDescent="0.3">
      <c r="A224" s="77">
        <v>223</v>
      </c>
      <c r="B224" t="s">
        <v>409</v>
      </c>
      <c r="C224" t="s">
        <v>77</v>
      </c>
      <c r="D224" t="s">
        <v>256</v>
      </c>
      <c r="E224" t="s">
        <v>762</v>
      </c>
      <c r="F224">
        <v>14016</v>
      </c>
      <c r="G224" t="str">
        <f>LOOKUP(B224,ΠΕΡΙΦΕΡΕΙΑ!$A$2:$A$14,ΠΕΡΙΦΕΡΕΙΑ!$B$2:$B$14)</f>
        <v>Μερική</v>
      </c>
      <c r="H224">
        <f t="shared" si="21"/>
        <v>223</v>
      </c>
      <c r="I224">
        <f t="shared" si="22"/>
        <v>223</v>
      </c>
      <c r="J224" t="str">
        <f t="shared" si="25"/>
        <v>ΒΙΑΝΝΟΥ - ΚΡΗΤΗΣ</v>
      </c>
      <c r="K224" t="str">
        <f t="shared" si="23"/>
        <v>ΚΡΗΤΗΣ</v>
      </c>
      <c r="L224" t="str">
        <f t="shared" si="24"/>
        <v>ΒΙΑΝΝΟΥ</v>
      </c>
      <c r="M224" s="65" t="s">
        <v>417</v>
      </c>
      <c r="N224" t="str">
        <f t="shared" si="26"/>
        <v xml:space="preserve">ΚΡΗΤΗΣ - ΒΙΑΝΝΟΥ, </v>
      </c>
      <c r="O22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</v>
      </c>
    </row>
    <row r="225" spans="1:15" x14ac:dyDescent="0.3">
      <c r="A225" s="77">
        <v>224</v>
      </c>
      <c r="B225" t="s">
        <v>409</v>
      </c>
      <c r="C225" t="s">
        <v>277</v>
      </c>
      <c r="D225" t="s">
        <v>272</v>
      </c>
      <c r="E225" t="s">
        <v>763</v>
      </c>
      <c r="F225">
        <v>14026</v>
      </c>
      <c r="G225" t="str">
        <f>LOOKUP(B225,ΠΕΡΙΦΕΡΕΙΑ!$A$2:$A$14,ΠΕΡΙΦΕΡΕΙΑ!$B$2:$B$14)</f>
        <v>Μερική</v>
      </c>
      <c r="H225">
        <f t="shared" si="21"/>
        <v>224</v>
      </c>
      <c r="I225">
        <f t="shared" si="22"/>
        <v>224</v>
      </c>
      <c r="J225" t="str">
        <f t="shared" si="25"/>
        <v>ΓΑΥΔΟΥ - ΚΡΗΤΗΣ</v>
      </c>
      <c r="K225" t="str">
        <f t="shared" si="23"/>
        <v>ΚΡΗΤΗΣ</v>
      </c>
      <c r="L225" t="str">
        <f t="shared" si="24"/>
        <v>ΓΑΥΔΟΥ</v>
      </c>
      <c r="M225" s="65" t="s">
        <v>418</v>
      </c>
      <c r="N225" t="str">
        <f t="shared" si="26"/>
        <v/>
      </c>
      <c r="O22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</v>
      </c>
    </row>
    <row r="226" spans="1:15" x14ac:dyDescent="0.3">
      <c r="A226" s="77">
        <v>225</v>
      </c>
      <c r="B226" t="s">
        <v>409</v>
      </c>
      <c r="C226" t="s">
        <v>77</v>
      </c>
      <c r="D226" t="s">
        <v>257</v>
      </c>
      <c r="E226" t="s">
        <v>764</v>
      </c>
      <c r="F226">
        <v>14044</v>
      </c>
      <c r="G226" t="str">
        <f>LOOKUP(B226,ΠΕΡΙΦΕΡΕΙΑ!$A$2:$A$14,ΠΕΡΙΦΕΡΕΙΑ!$B$2:$B$14)</f>
        <v>Μερική</v>
      </c>
      <c r="H226">
        <f t="shared" si="21"/>
        <v>225</v>
      </c>
      <c r="I226">
        <f t="shared" si="22"/>
        <v>225</v>
      </c>
      <c r="J226" t="str">
        <f t="shared" si="25"/>
        <v>ΓΟΡΤΥΝΑΣ - ΚΡΗΤΗΣ</v>
      </c>
      <c r="K226" t="str">
        <f t="shared" si="23"/>
        <v>ΚΡΗΤΗΣ</v>
      </c>
      <c r="L226" t="str">
        <f t="shared" si="24"/>
        <v>ΓΟΡΤΥΝΑΣ</v>
      </c>
      <c r="M226" s="65" t="s">
        <v>417</v>
      </c>
      <c r="N226" t="str">
        <f t="shared" si="26"/>
        <v xml:space="preserve">ΚΡΗΤΗΣ - ΓΟΡΤΥΝΑΣ, </v>
      </c>
      <c r="O22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</v>
      </c>
    </row>
    <row r="227" spans="1:15" x14ac:dyDescent="0.3">
      <c r="A227" s="77">
        <v>226</v>
      </c>
      <c r="B227" t="s">
        <v>409</v>
      </c>
      <c r="C227" t="s">
        <v>77</v>
      </c>
      <c r="D227" t="s">
        <v>77</v>
      </c>
      <c r="E227" t="s">
        <v>765</v>
      </c>
      <c r="F227">
        <v>14122</v>
      </c>
      <c r="G227" t="str">
        <f>LOOKUP(B227,ΠΕΡΙΦΕΡΕΙΑ!$A$2:$A$14,ΠΕΡΙΦΕΡΕΙΑ!$B$2:$B$14)</f>
        <v>Μερική</v>
      </c>
      <c r="H227">
        <f t="shared" si="21"/>
        <v>226</v>
      </c>
      <c r="I227">
        <f t="shared" si="22"/>
        <v>226</v>
      </c>
      <c r="J227" t="str">
        <f t="shared" si="25"/>
        <v>ΗΡΑΚΛΕΙΟΥ - ΚΡΗΤΗΣ</v>
      </c>
      <c r="K227" t="str">
        <f t="shared" si="23"/>
        <v>ΚΡΗΤΗΣ</v>
      </c>
      <c r="L227" t="str">
        <f t="shared" si="24"/>
        <v>ΗΡΑΚΛΕΙΟΥ</v>
      </c>
      <c r="M227" s="65" t="s">
        <v>417</v>
      </c>
      <c r="N227" t="str">
        <f t="shared" si="26"/>
        <v xml:space="preserve">ΚΡΗΤΗΣ - ΗΡΑΚΛΕΙΟΥ, </v>
      </c>
      <c r="O22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</v>
      </c>
    </row>
    <row r="228" spans="1:15" x14ac:dyDescent="0.3">
      <c r="A228" s="77">
        <v>227</v>
      </c>
      <c r="B228" t="s">
        <v>409</v>
      </c>
      <c r="C228" t="s">
        <v>386</v>
      </c>
      <c r="D228" t="s">
        <v>263</v>
      </c>
      <c r="E228" t="s">
        <v>766</v>
      </c>
      <c r="F228">
        <v>14134</v>
      </c>
      <c r="G228" t="str">
        <f>LOOKUP(B228,ΠΕΡΙΦΕΡΕΙΑ!$A$2:$A$14,ΠΕΡΙΦΕΡΕΙΑ!$B$2:$B$14)</f>
        <v>Μερική</v>
      </c>
      <c r="H228">
        <f t="shared" si="21"/>
        <v>227</v>
      </c>
      <c r="I228">
        <f t="shared" si="22"/>
        <v>227</v>
      </c>
      <c r="J228" t="str">
        <f t="shared" si="25"/>
        <v>ΙΕΡΑΠΕΤΡΑΣ - ΚΡΗΤΗΣ</v>
      </c>
      <c r="K228" t="str">
        <f t="shared" si="23"/>
        <v>ΚΡΗΤΗΣ</v>
      </c>
      <c r="L228" t="str">
        <f t="shared" si="24"/>
        <v>ΙΕΡΑΠΕΤΡΑΣ</v>
      </c>
      <c r="M228" s="65" t="s">
        <v>417</v>
      </c>
      <c r="N228" t="str">
        <f t="shared" si="26"/>
        <v xml:space="preserve">ΚΡΗΤΗΣ - ΙΕΡΑΠΕΤΡΑΣ, </v>
      </c>
      <c r="O22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</v>
      </c>
    </row>
    <row r="229" spans="1:15" x14ac:dyDescent="0.3">
      <c r="A229" s="77">
        <v>228</v>
      </c>
      <c r="B229" t="s">
        <v>409</v>
      </c>
      <c r="C229" t="s">
        <v>277</v>
      </c>
      <c r="D229" t="s">
        <v>273</v>
      </c>
      <c r="E229" t="s">
        <v>767</v>
      </c>
      <c r="F229">
        <v>14186</v>
      </c>
      <c r="G229" t="str">
        <f>LOOKUP(B229,ΠΕΡΙΦΕΡΕΙΑ!$A$2:$A$14,ΠΕΡΙΦΕΡΕΙΑ!$B$2:$B$14)</f>
        <v>Μερική</v>
      </c>
      <c r="H229">
        <f t="shared" si="21"/>
        <v>228</v>
      </c>
      <c r="I229">
        <f t="shared" si="22"/>
        <v>228</v>
      </c>
      <c r="J229" t="str">
        <f t="shared" si="25"/>
        <v>ΚΑΝΤΑΝΟΥ – ΣΕΛΙΝΟΥ - ΚΡΗΤΗΣ</v>
      </c>
      <c r="K229" t="str">
        <f t="shared" si="23"/>
        <v>ΚΡΗΤΗΣ</v>
      </c>
      <c r="L229" t="str">
        <f t="shared" si="24"/>
        <v>ΚΑΝΤΑΝΟΥ – ΣΕΛΙΝΟΥ</v>
      </c>
      <c r="M229" s="65" t="s">
        <v>417</v>
      </c>
      <c r="N229" t="str">
        <f t="shared" si="26"/>
        <v xml:space="preserve">ΚΡΗΤΗΣ - ΚΑΝΤΑΝΟΥ – ΣΕΛΙΝΟΥ, </v>
      </c>
      <c r="O22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</v>
      </c>
    </row>
    <row r="230" spans="1:15" x14ac:dyDescent="0.3">
      <c r="A230" s="77">
        <v>229</v>
      </c>
      <c r="B230" t="s">
        <v>409</v>
      </c>
      <c r="C230" t="s">
        <v>277</v>
      </c>
      <c r="D230" t="s">
        <v>274</v>
      </c>
      <c r="E230" t="s">
        <v>768</v>
      </c>
      <c r="F230">
        <v>14216</v>
      </c>
      <c r="G230" t="str">
        <f>LOOKUP(B230,ΠΕΡΙΦΕΡΕΙΑ!$A$2:$A$14,ΠΕΡΙΦΕΡΕΙΑ!$B$2:$B$14)</f>
        <v>Μερική</v>
      </c>
      <c r="H230">
        <f t="shared" si="21"/>
        <v>229</v>
      </c>
      <c r="I230">
        <f t="shared" si="22"/>
        <v>229</v>
      </c>
      <c r="J230" t="str">
        <f t="shared" si="25"/>
        <v>ΚΙΣΣΑΜΟΥ - ΚΡΗΤΗΣ</v>
      </c>
      <c r="K230" t="str">
        <f t="shared" si="23"/>
        <v>ΚΡΗΤΗΣ</v>
      </c>
      <c r="L230" t="str">
        <f t="shared" si="24"/>
        <v>ΚΙΣΣΑΜΟΥ</v>
      </c>
      <c r="M230" s="65" t="s">
        <v>417</v>
      </c>
      <c r="N230" t="str">
        <f t="shared" si="26"/>
        <v xml:space="preserve">ΚΡΗΤΗΣ - ΚΙΣΣΑΜΟΥ, </v>
      </c>
      <c r="O23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</v>
      </c>
    </row>
    <row r="231" spans="1:15" x14ac:dyDescent="0.3">
      <c r="A231" s="77">
        <v>230</v>
      </c>
      <c r="B231" t="s">
        <v>409</v>
      </c>
      <c r="C231" t="s">
        <v>77</v>
      </c>
      <c r="D231" t="s">
        <v>258</v>
      </c>
      <c r="E231" t="s">
        <v>769</v>
      </c>
      <c r="F231">
        <v>14264</v>
      </c>
      <c r="G231" t="str">
        <f>LOOKUP(B231,ΠΕΡΙΦΕΡΕΙΑ!$A$2:$A$14,ΠΕΡΙΦΕΡΕΙΑ!$B$2:$B$14)</f>
        <v>Μερική</v>
      </c>
      <c r="H231">
        <f t="shared" si="21"/>
        <v>230</v>
      </c>
      <c r="I231">
        <f t="shared" si="22"/>
        <v>230</v>
      </c>
      <c r="J231" t="str">
        <f t="shared" si="25"/>
        <v>ΜΑΛΕΒΙΖΙΟΥ - ΚΡΗΤΗΣ</v>
      </c>
      <c r="K231" t="str">
        <f t="shared" si="23"/>
        <v>ΚΡΗΤΗΣ</v>
      </c>
      <c r="L231" t="str">
        <f t="shared" si="24"/>
        <v>ΜΑΛΕΒΙΖΙΟΥ</v>
      </c>
      <c r="M231" s="65" t="s">
        <v>417</v>
      </c>
      <c r="N231" t="str">
        <f t="shared" si="26"/>
        <v xml:space="preserve">ΚΡΗΤΗΣ - ΜΑΛΕΒΙΖΙΟΥ, </v>
      </c>
      <c r="O23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</v>
      </c>
    </row>
    <row r="232" spans="1:15" x14ac:dyDescent="0.3">
      <c r="A232" s="77">
        <v>231</v>
      </c>
      <c r="B232" t="s">
        <v>409</v>
      </c>
      <c r="C232" t="s">
        <v>77</v>
      </c>
      <c r="D232" t="s">
        <v>259</v>
      </c>
      <c r="E232" t="s">
        <v>770</v>
      </c>
      <c r="F232">
        <v>14298</v>
      </c>
      <c r="G232" t="str">
        <f>LOOKUP(B232,ΠΕΡΙΦΕΡΕΙΑ!$A$2:$A$14,ΠΕΡΙΦΕΡΕΙΑ!$B$2:$B$14)</f>
        <v>Μερική</v>
      </c>
      <c r="H232">
        <f t="shared" si="21"/>
        <v>231</v>
      </c>
      <c r="I232">
        <f t="shared" si="22"/>
        <v>231</v>
      </c>
      <c r="J232" t="str">
        <f t="shared" si="25"/>
        <v>ΜΙΝΩΑ ΠΕΔΙΑΔΑΣ - ΚΡΗΤΗΣ</v>
      </c>
      <c r="K232" t="str">
        <f t="shared" si="23"/>
        <v>ΚΡΗΤΗΣ</v>
      </c>
      <c r="L232" t="str">
        <f t="shared" si="24"/>
        <v>ΜΙΝΩΑ ΠΕΔΙΑΔΑΣ</v>
      </c>
      <c r="M232" s="65" t="s">
        <v>417</v>
      </c>
      <c r="N232" t="str">
        <f t="shared" si="26"/>
        <v xml:space="preserve">ΚΡΗΤΗΣ - ΜΙΝΩΑ ΠΕΔΙΑΔΑΣ, </v>
      </c>
      <c r="O23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</v>
      </c>
    </row>
    <row r="233" spans="1:15" x14ac:dyDescent="0.3">
      <c r="A233" s="77">
        <v>232</v>
      </c>
      <c r="B233" t="s">
        <v>409</v>
      </c>
      <c r="C233" t="s">
        <v>387</v>
      </c>
      <c r="D233" t="s">
        <v>269</v>
      </c>
      <c r="E233" t="s">
        <v>771</v>
      </c>
      <c r="F233">
        <v>14270</v>
      </c>
      <c r="G233" t="str">
        <f>LOOKUP(B233,ΠΕΡΙΦΕΡΕΙΑ!$A$2:$A$14,ΠΕΡΙΦΕΡΕΙΑ!$B$2:$B$14)</f>
        <v>Μερική</v>
      </c>
      <c r="H233">
        <f t="shared" si="21"/>
        <v>232</v>
      </c>
      <c r="I233">
        <f t="shared" si="22"/>
        <v>232</v>
      </c>
      <c r="J233" t="str">
        <f t="shared" si="25"/>
        <v>ΜΥΛΟΠΟΤΑΜΟΥ - ΚΡΗΤΗΣ</v>
      </c>
      <c r="K233" t="str">
        <f t="shared" si="23"/>
        <v>ΚΡΗΤΗΣ</v>
      </c>
      <c r="L233" t="str">
        <f t="shared" si="24"/>
        <v>ΜΥΛΟΠΟΤΑΜΟΥ</v>
      </c>
      <c r="M233" s="65" t="s">
        <v>417</v>
      </c>
      <c r="N233" t="str">
        <f t="shared" si="26"/>
        <v xml:space="preserve">ΚΡΗΤΗΣ - ΜΥΛΟΠΟΤΑΜΟΥ, </v>
      </c>
      <c r="O23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</v>
      </c>
    </row>
    <row r="234" spans="1:15" x14ac:dyDescent="0.3">
      <c r="A234" s="77">
        <v>233</v>
      </c>
      <c r="B234" t="s">
        <v>409</v>
      </c>
      <c r="C234" t="s">
        <v>386</v>
      </c>
      <c r="D234" t="s">
        <v>264</v>
      </c>
      <c r="E234" t="s">
        <v>772</v>
      </c>
      <c r="F234">
        <v>14358</v>
      </c>
      <c r="G234" t="str">
        <f>LOOKUP(B234,ΠΕΡΙΦΕΡΕΙΑ!$A$2:$A$14,ΠΕΡΙΦΕΡΕΙΑ!$B$2:$B$14)</f>
        <v>Μερική</v>
      </c>
      <c r="H234">
        <f t="shared" si="21"/>
        <v>233</v>
      </c>
      <c r="I234">
        <f t="shared" si="22"/>
        <v>233</v>
      </c>
      <c r="J234" t="str">
        <f t="shared" si="25"/>
        <v>ΟΡΟΠΕΔΙΟΥ ΛΑΣΙΘΙΟΥ - ΚΡΗΤΗΣ</v>
      </c>
      <c r="K234" t="str">
        <f t="shared" si="23"/>
        <v>ΚΡΗΤΗΣ</v>
      </c>
      <c r="L234" t="str">
        <f t="shared" si="24"/>
        <v>ΟΡΟΠΕΔΙΟΥ ΛΑΣΙΘΙΟΥ</v>
      </c>
      <c r="M234" s="65" t="s">
        <v>417</v>
      </c>
      <c r="N234" t="str">
        <f t="shared" si="26"/>
        <v xml:space="preserve">ΚΡΗΤΗΣ - ΟΡΟΠΕΔΙΟΥ ΛΑΣΙΘΙΟΥ, </v>
      </c>
      <c r="O23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</v>
      </c>
    </row>
    <row r="235" spans="1:15" x14ac:dyDescent="0.3">
      <c r="A235" s="77">
        <v>234</v>
      </c>
      <c r="B235" t="s">
        <v>409</v>
      </c>
      <c r="C235" t="s">
        <v>277</v>
      </c>
      <c r="D235" t="s">
        <v>275</v>
      </c>
      <c r="E235" t="s">
        <v>773</v>
      </c>
      <c r="F235">
        <v>14412</v>
      </c>
      <c r="G235" t="str">
        <f>LOOKUP(B235,ΠΕΡΙΦΕΡΕΙΑ!$A$2:$A$14,ΠΕΡΙΦΕΡΕΙΑ!$B$2:$B$14)</f>
        <v>Μερική</v>
      </c>
      <c r="H235">
        <f t="shared" si="21"/>
        <v>234</v>
      </c>
      <c r="I235">
        <f t="shared" si="22"/>
        <v>234</v>
      </c>
      <c r="J235" t="str">
        <f t="shared" si="25"/>
        <v>ΠΛΑΤΑΝΙΑ - ΚΡΗΤΗΣ</v>
      </c>
      <c r="K235" t="str">
        <f t="shared" si="23"/>
        <v>ΚΡΗΤΗΣ</v>
      </c>
      <c r="L235" t="str">
        <f t="shared" si="24"/>
        <v>ΠΛΑΤΑΝΙΑ</v>
      </c>
      <c r="M235" s="65" t="s">
        <v>418</v>
      </c>
      <c r="N235" t="str">
        <f t="shared" si="26"/>
        <v/>
      </c>
      <c r="O23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</v>
      </c>
    </row>
    <row r="236" spans="1:15" x14ac:dyDescent="0.3">
      <c r="A236" s="77">
        <v>235</v>
      </c>
      <c r="B236" t="s">
        <v>409</v>
      </c>
      <c r="C236" t="s">
        <v>387</v>
      </c>
      <c r="D236" t="s">
        <v>270</v>
      </c>
      <c r="E236" t="s">
        <v>774</v>
      </c>
      <c r="F236">
        <v>14428</v>
      </c>
      <c r="G236" t="str">
        <f>LOOKUP(B236,ΠΕΡΙΦΕΡΕΙΑ!$A$2:$A$14,ΠΕΡΙΦΕΡΕΙΑ!$B$2:$B$14)</f>
        <v>Μερική</v>
      </c>
      <c r="H236">
        <f t="shared" si="21"/>
        <v>235</v>
      </c>
      <c r="I236">
        <f t="shared" si="22"/>
        <v>235</v>
      </c>
      <c r="J236" t="str">
        <f t="shared" si="25"/>
        <v>ΡΕΘΥΜΝΗΣ - ΚΡΗΤΗΣ</v>
      </c>
      <c r="K236" t="str">
        <f t="shared" si="23"/>
        <v>ΚΡΗΤΗΣ</v>
      </c>
      <c r="L236" t="str">
        <f t="shared" si="24"/>
        <v>ΡΕΘΥΜΝΗΣ</v>
      </c>
      <c r="M236" s="65" t="s">
        <v>417</v>
      </c>
      <c r="N236" t="str">
        <f t="shared" si="26"/>
        <v xml:space="preserve">ΚΡΗΤΗΣ - ΡΕΘΥΜΝΗΣ, </v>
      </c>
      <c r="O23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</v>
      </c>
    </row>
    <row r="237" spans="1:15" x14ac:dyDescent="0.3">
      <c r="A237" s="77">
        <v>236</v>
      </c>
      <c r="B237" t="s">
        <v>409</v>
      </c>
      <c r="C237" t="s">
        <v>386</v>
      </c>
      <c r="D237" t="s">
        <v>265</v>
      </c>
      <c r="E237" t="s">
        <v>775</v>
      </c>
      <c r="F237">
        <v>14452</v>
      </c>
      <c r="G237" t="str">
        <f>LOOKUP(B237,ΠΕΡΙΦΕΡΕΙΑ!$A$2:$A$14,ΠΕΡΙΦΕΡΕΙΑ!$B$2:$B$14)</f>
        <v>Μερική</v>
      </c>
      <c r="H237">
        <f t="shared" si="21"/>
        <v>236</v>
      </c>
      <c r="I237">
        <f t="shared" si="22"/>
        <v>236</v>
      </c>
      <c r="J237" t="str">
        <f t="shared" si="25"/>
        <v>ΣΗΤΕΙΑΣ - ΚΡΗΤΗΣ</v>
      </c>
      <c r="K237" t="str">
        <f t="shared" si="23"/>
        <v>ΚΡΗΤΗΣ</v>
      </c>
      <c r="L237" t="str">
        <f t="shared" si="24"/>
        <v>ΣΗΤΕΙΑΣ</v>
      </c>
      <c r="M237" s="65" t="s">
        <v>417</v>
      </c>
      <c r="N237" t="str">
        <f t="shared" si="26"/>
        <v xml:space="preserve">ΚΡΗΤΗΣ - ΣΗΤΕΙΑΣ, </v>
      </c>
      <c r="O23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</v>
      </c>
    </row>
    <row r="238" spans="1:15" x14ac:dyDescent="0.3">
      <c r="A238" s="77">
        <v>237</v>
      </c>
      <c r="B238" t="s">
        <v>409</v>
      </c>
      <c r="C238" t="s">
        <v>277</v>
      </c>
      <c r="D238" t="s">
        <v>276</v>
      </c>
      <c r="E238" t="s">
        <v>776</v>
      </c>
      <c r="F238">
        <v>14442</v>
      </c>
      <c r="G238" t="str">
        <f>LOOKUP(B238,ΠΕΡΙΦΕΡΕΙΑ!$A$2:$A$14,ΠΕΡΙΦΕΡΕΙΑ!$B$2:$B$14)</f>
        <v>Μερική</v>
      </c>
      <c r="H238">
        <f t="shared" si="21"/>
        <v>237</v>
      </c>
      <c r="I238">
        <f t="shared" si="22"/>
        <v>237</v>
      </c>
      <c r="J238" t="str">
        <f t="shared" si="25"/>
        <v>ΣΦΑΚΙΩΝ - ΚΡΗΤΗΣ</v>
      </c>
      <c r="K238" t="str">
        <f t="shared" si="23"/>
        <v>ΚΡΗΤΗΣ</v>
      </c>
      <c r="L238" t="str">
        <f t="shared" si="24"/>
        <v>ΣΦΑΚΙΩΝ</v>
      </c>
      <c r="M238" s="65" t="s">
        <v>417</v>
      </c>
      <c r="N238" t="str">
        <f t="shared" si="26"/>
        <v xml:space="preserve">ΚΡΗΤΗΣ - ΣΦΑΚΙΩΝ, </v>
      </c>
      <c r="O23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</v>
      </c>
    </row>
    <row r="239" spans="1:15" x14ac:dyDescent="0.3">
      <c r="A239" s="77">
        <v>238</v>
      </c>
      <c r="B239" t="s">
        <v>409</v>
      </c>
      <c r="C239" t="s">
        <v>77</v>
      </c>
      <c r="D239" t="s">
        <v>260</v>
      </c>
      <c r="E239" t="s">
        <v>777</v>
      </c>
      <c r="F239">
        <v>14510</v>
      </c>
      <c r="G239" t="str">
        <f>LOOKUP(B239,ΠΕΡΙΦΕΡΕΙΑ!$A$2:$A$14,ΠΕΡΙΦΕΡΕΙΑ!$B$2:$B$14)</f>
        <v>Μερική</v>
      </c>
      <c r="H239">
        <f t="shared" si="21"/>
        <v>238</v>
      </c>
      <c r="I239">
        <f t="shared" si="22"/>
        <v>238</v>
      </c>
      <c r="J239" t="str">
        <f t="shared" si="25"/>
        <v>ΦΑΙΣΤΟΥ - ΚΡΗΤΗΣ</v>
      </c>
      <c r="K239" t="str">
        <f t="shared" si="23"/>
        <v>ΚΡΗΤΗΣ</v>
      </c>
      <c r="L239" t="str">
        <f t="shared" si="24"/>
        <v>ΦΑΙΣΤΟΥ</v>
      </c>
      <c r="M239" s="65" t="s">
        <v>417</v>
      </c>
      <c r="N239" t="str">
        <f t="shared" si="26"/>
        <v xml:space="preserve">ΚΡΗΤΗΣ - ΦΑΙΣΤΟΥ, </v>
      </c>
      <c r="O23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</v>
      </c>
    </row>
    <row r="240" spans="1:15" x14ac:dyDescent="0.3">
      <c r="A240" s="77">
        <v>239</v>
      </c>
      <c r="B240" t="s">
        <v>409</v>
      </c>
      <c r="C240" t="s">
        <v>277</v>
      </c>
      <c r="D240" t="s">
        <v>277</v>
      </c>
      <c r="E240" t="s">
        <v>778</v>
      </c>
      <c r="F240">
        <v>14532</v>
      </c>
      <c r="G240" t="str">
        <f>LOOKUP(B240,ΠΕΡΙΦΕΡΕΙΑ!$A$2:$A$14,ΠΕΡΙΦΕΡΕΙΑ!$B$2:$B$14)</f>
        <v>Μερική</v>
      </c>
      <c r="H240">
        <f t="shared" si="21"/>
        <v>239</v>
      </c>
      <c r="I240">
        <f t="shared" si="22"/>
        <v>239</v>
      </c>
      <c r="J240" t="str">
        <f t="shared" si="25"/>
        <v>ΧΑΝΙΩΝ - ΚΡΗΤΗΣ</v>
      </c>
      <c r="K240" t="str">
        <f t="shared" si="23"/>
        <v>ΚΡΗΤΗΣ</v>
      </c>
      <c r="L240" t="str">
        <f t="shared" si="24"/>
        <v>ΧΑΝΙΩΝ</v>
      </c>
      <c r="M240" s="65" t="s">
        <v>417</v>
      </c>
      <c r="N240" t="str">
        <f t="shared" si="26"/>
        <v xml:space="preserve">ΚΡΗΤΗΣ - ΧΑΝΙΩΝ, </v>
      </c>
      <c r="O24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</v>
      </c>
    </row>
    <row r="241" spans="1:15" x14ac:dyDescent="0.3">
      <c r="A241" s="77">
        <v>240</v>
      </c>
      <c r="B241" t="s">
        <v>409</v>
      </c>
      <c r="C241" t="s">
        <v>77</v>
      </c>
      <c r="D241" t="s">
        <v>261</v>
      </c>
      <c r="E241" t="s">
        <v>779</v>
      </c>
      <c r="F241">
        <v>14540</v>
      </c>
      <c r="G241" t="str">
        <f>LOOKUP(B241,ΠΕΡΙΦΕΡΕΙΑ!$A$2:$A$14,ΠΕΡΙΦΕΡΕΙΑ!$B$2:$B$14)</f>
        <v>Μερική</v>
      </c>
      <c r="H241">
        <f t="shared" si="21"/>
        <v>240</v>
      </c>
      <c r="I241">
        <f t="shared" si="22"/>
        <v>240</v>
      </c>
      <c r="J241" t="str">
        <f t="shared" si="25"/>
        <v>ΧΕΡΣΟΝΗΣΟΥ - ΚΡΗΤΗΣ</v>
      </c>
      <c r="K241" t="str">
        <f t="shared" si="23"/>
        <v>ΚΡΗΤΗΣ</v>
      </c>
      <c r="L241" t="str">
        <f t="shared" si="24"/>
        <v>ΧΕΡΣΟΝΗΣΟΥ</v>
      </c>
      <c r="M241" s="65" t="s">
        <v>417</v>
      </c>
      <c r="N241" t="str">
        <f t="shared" si="26"/>
        <v xml:space="preserve">ΚΡΗΤΗΣ - ΧΕΡΣΟΝΗΣΟΥ, </v>
      </c>
      <c r="O24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</v>
      </c>
    </row>
    <row r="242" spans="1:15" x14ac:dyDescent="0.3">
      <c r="A242" s="77">
        <v>241</v>
      </c>
      <c r="B242" t="s">
        <v>410</v>
      </c>
      <c r="C242" t="s">
        <v>388</v>
      </c>
      <c r="D242" t="s">
        <v>284</v>
      </c>
      <c r="E242" t="s">
        <v>780</v>
      </c>
      <c r="F242">
        <v>13936</v>
      </c>
      <c r="G242" t="str">
        <f>LOOKUP(B242,ΠΕΡΙΦΕΡΕΙΑ!$A$2:$A$14,ΠΕΡΙΦΕΡΕΙΑ!$B$2:$B$14)</f>
        <v>Μερική</v>
      </c>
      <c r="H242">
        <f t="shared" si="21"/>
        <v>241</v>
      </c>
      <c r="I242">
        <f t="shared" si="22"/>
        <v>241</v>
      </c>
      <c r="J242" t="str">
        <f t="shared" si="25"/>
        <v>ΑΓΑΘΟΝΗΣΙΟΥ - ΝΟΤΙΟΥ ΑΙΓΑΙΟΥ</v>
      </c>
      <c r="K242" t="str">
        <f t="shared" si="23"/>
        <v>ΝΟΤΙΟΥ ΑΙΓΑΙΟΥ</v>
      </c>
      <c r="L242" t="str">
        <f t="shared" si="24"/>
        <v>ΑΓΑΘΟΝΗΣΙΟΥ</v>
      </c>
      <c r="M242" s="65" t="s">
        <v>418</v>
      </c>
      <c r="N242" t="str">
        <f t="shared" si="26"/>
        <v/>
      </c>
      <c r="O24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</v>
      </c>
    </row>
    <row r="243" spans="1:15" x14ac:dyDescent="0.3">
      <c r="A243" s="77">
        <v>242</v>
      </c>
      <c r="B243" t="s">
        <v>410</v>
      </c>
      <c r="C243" t="s">
        <v>390</v>
      </c>
      <c r="D243" t="s">
        <v>301</v>
      </c>
      <c r="E243" t="s">
        <v>781</v>
      </c>
      <c r="F243">
        <v>13966</v>
      </c>
      <c r="G243" t="str">
        <f>LOOKUP(B243,ΠΕΡΙΦΕΡΕΙΑ!$A$2:$A$14,ΠΕΡΙΦΕΡΕΙΑ!$B$2:$B$14)</f>
        <v>Μερική</v>
      </c>
      <c r="H243">
        <f t="shared" si="21"/>
        <v>242</v>
      </c>
      <c r="I243">
        <f t="shared" si="22"/>
        <v>242</v>
      </c>
      <c r="J243" t="str">
        <f t="shared" si="25"/>
        <v>ΑΜΟΡΓΟΥ - ΝΟΤΙΟΥ ΑΙΓΑΙΟΥ</v>
      </c>
      <c r="K243" t="str">
        <f t="shared" si="23"/>
        <v>ΝΟΤΙΟΥ ΑΙΓΑΙΟΥ</v>
      </c>
      <c r="L243" t="str">
        <f t="shared" si="24"/>
        <v>ΑΜΟΡΓΟΥ</v>
      </c>
      <c r="M243" s="65" t="s">
        <v>418</v>
      </c>
      <c r="N243" t="str">
        <f t="shared" si="26"/>
        <v/>
      </c>
      <c r="O24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</v>
      </c>
    </row>
    <row r="244" spans="1:15" x14ac:dyDescent="0.3">
      <c r="A244" s="77">
        <v>243</v>
      </c>
      <c r="B244" t="s">
        <v>410</v>
      </c>
      <c r="C244" t="s">
        <v>280</v>
      </c>
      <c r="D244" t="s">
        <v>279</v>
      </c>
      <c r="E244" t="s">
        <v>782</v>
      </c>
      <c r="F244">
        <v>13978</v>
      </c>
      <c r="G244" t="str">
        <f>LOOKUP(B244,ΠΕΡΙΦΕΡΕΙΑ!$A$2:$A$14,ΠΕΡΙΦΕΡΕΙΑ!$B$2:$B$14)</f>
        <v>Μερική</v>
      </c>
      <c r="H244">
        <f t="shared" si="21"/>
        <v>243</v>
      </c>
      <c r="I244">
        <f t="shared" si="22"/>
        <v>243</v>
      </c>
      <c r="J244" t="str">
        <f t="shared" si="25"/>
        <v>ΑΝΑΦΗΣ - ΝΟΤΙΟΥ ΑΙΓΑΙΟΥ</v>
      </c>
      <c r="K244" t="str">
        <f t="shared" si="23"/>
        <v>ΝΟΤΙΟΥ ΑΙΓΑΙΟΥ</v>
      </c>
      <c r="L244" t="str">
        <f t="shared" si="24"/>
        <v>ΑΝΑΦΗΣ</v>
      </c>
      <c r="M244" s="65" t="s">
        <v>418</v>
      </c>
      <c r="N244" t="str">
        <f t="shared" si="26"/>
        <v/>
      </c>
      <c r="O24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</v>
      </c>
    </row>
    <row r="245" spans="1:15" x14ac:dyDescent="0.3">
      <c r="A245" s="77">
        <v>244</v>
      </c>
      <c r="B245" t="s">
        <v>410</v>
      </c>
      <c r="C245" t="s">
        <v>278</v>
      </c>
      <c r="D245" t="s">
        <v>278</v>
      </c>
      <c r="E245" t="s">
        <v>783</v>
      </c>
      <c r="F245">
        <v>13988</v>
      </c>
      <c r="G245" t="str">
        <f>LOOKUP(B245,ΠΕΡΙΦΕΡΕΙΑ!$A$2:$A$14,ΠΕΡΙΦΕΡΕΙΑ!$B$2:$B$14)</f>
        <v>Μερική</v>
      </c>
      <c r="H245">
        <f t="shared" si="21"/>
        <v>244</v>
      </c>
      <c r="I245">
        <f t="shared" si="22"/>
        <v>244</v>
      </c>
      <c r="J245" t="str">
        <f t="shared" si="25"/>
        <v>ΑΝΔΡΟΥ - ΝΟΤΙΟΥ ΑΙΓΑΙΟΥ</v>
      </c>
      <c r="K245" t="str">
        <f t="shared" si="23"/>
        <v>ΝΟΤΙΟΥ ΑΙΓΑΙΟΥ</v>
      </c>
      <c r="L245" t="str">
        <f t="shared" si="24"/>
        <v>ΑΝΔΡΟΥ</v>
      </c>
      <c r="M245" s="65" t="s">
        <v>417</v>
      </c>
      <c r="N245" t="str">
        <f t="shared" si="26"/>
        <v xml:space="preserve">ΝΟΤΙΟΥ ΑΙΓΑΙΟΥ - ΑΝΔΡΟΥ, </v>
      </c>
      <c r="O24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</v>
      </c>
    </row>
    <row r="246" spans="1:15" x14ac:dyDescent="0.3">
      <c r="A246" s="77">
        <v>245</v>
      </c>
      <c r="B246" t="s">
        <v>410</v>
      </c>
      <c r="C246" t="s">
        <v>304</v>
      </c>
      <c r="D246" t="s">
        <v>303</v>
      </c>
      <c r="E246" t="s">
        <v>784</v>
      </c>
      <c r="F246">
        <v>13986</v>
      </c>
      <c r="G246" t="str">
        <f>LOOKUP(B246,ΠΕΡΙΦΕΡΕΙΑ!$A$2:$A$14,ΠΕΡΙΦΕΡΕΙΑ!$B$2:$B$14)</f>
        <v>Μερική</v>
      </c>
      <c r="H246">
        <f t="shared" si="21"/>
        <v>245</v>
      </c>
      <c r="I246">
        <f t="shared" si="22"/>
        <v>245</v>
      </c>
      <c r="J246" t="str">
        <f t="shared" si="25"/>
        <v>ΑΝΤΙΠΑΡΟΥ - ΝΟΤΙΟΥ ΑΙΓΑΙΟΥ</v>
      </c>
      <c r="K246" t="str">
        <f t="shared" si="23"/>
        <v>ΝΟΤΙΟΥ ΑΙΓΑΙΟΥ</v>
      </c>
      <c r="L246" t="str">
        <f t="shared" si="24"/>
        <v>ΑΝΤΙΠΑΡΟΥ</v>
      </c>
      <c r="M246" s="65" t="s">
        <v>418</v>
      </c>
      <c r="N246" t="str">
        <f t="shared" si="26"/>
        <v/>
      </c>
      <c r="O24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</v>
      </c>
    </row>
    <row r="247" spans="1:15" x14ac:dyDescent="0.3">
      <c r="A247" s="77">
        <v>246</v>
      </c>
      <c r="B247" t="s">
        <v>410</v>
      </c>
      <c r="C247" t="s">
        <v>388</v>
      </c>
      <c r="D247" t="s">
        <v>285</v>
      </c>
      <c r="E247" t="s">
        <v>785</v>
      </c>
      <c r="F247">
        <v>14006</v>
      </c>
      <c r="G247" t="str">
        <f>LOOKUP(B247,ΠΕΡΙΦΕΡΕΙΑ!$A$2:$A$14,ΠΕΡΙΦΕΡΕΙΑ!$B$2:$B$14)</f>
        <v>Μερική</v>
      </c>
      <c r="H247">
        <f t="shared" si="21"/>
        <v>246</v>
      </c>
      <c r="I247">
        <f t="shared" si="22"/>
        <v>246</v>
      </c>
      <c r="J247" t="str">
        <f t="shared" si="25"/>
        <v>ΑΣΤΥΠΑΛΑΙΑΣ - ΝΟΤΙΟΥ ΑΙΓΑΙΟΥ</v>
      </c>
      <c r="K247" t="str">
        <f t="shared" si="23"/>
        <v>ΝΟΤΙΟΥ ΑΙΓΑΙΟΥ</v>
      </c>
      <c r="L247" t="str">
        <f t="shared" si="24"/>
        <v>ΑΣΤΥΠΑΛΑΙΑΣ</v>
      </c>
      <c r="M247" s="65" t="s">
        <v>418</v>
      </c>
      <c r="N247" t="str">
        <f t="shared" si="26"/>
        <v/>
      </c>
      <c r="O24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</v>
      </c>
    </row>
    <row r="248" spans="1:15" x14ac:dyDescent="0.3">
      <c r="A248" s="77">
        <v>247</v>
      </c>
      <c r="B248" t="s">
        <v>410</v>
      </c>
      <c r="C248" t="s">
        <v>280</v>
      </c>
      <c r="D248" t="s">
        <v>280</v>
      </c>
      <c r="E248" t="s">
        <v>786</v>
      </c>
      <c r="F248">
        <v>14138</v>
      </c>
      <c r="G248" t="str">
        <f>LOOKUP(B248,ΠΕΡΙΦΕΡΕΙΑ!$A$2:$A$14,ΠΕΡΙΦΕΡΕΙΑ!$B$2:$B$14)</f>
        <v>Μερική</v>
      </c>
      <c r="H248">
        <f t="shared" si="21"/>
        <v>247</v>
      </c>
      <c r="I248">
        <f t="shared" si="22"/>
        <v>247</v>
      </c>
      <c r="J248" t="str">
        <f t="shared" si="25"/>
        <v>ΘΗΡΑΣ - ΝΟΤΙΟΥ ΑΙΓΑΙΟΥ</v>
      </c>
      <c r="K248" t="str">
        <f t="shared" si="23"/>
        <v>ΝΟΤΙΟΥ ΑΙΓΑΙΟΥ</v>
      </c>
      <c r="L248" t="str">
        <f t="shared" si="24"/>
        <v>ΘΗΡΑΣ</v>
      </c>
      <c r="M248" s="65" t="s">
        <v>417</v>
      </c>
      <c r="N248" t="str">
        <f t="shared" si="26"/>
        <v xml:space="preserve">ΝΟΤΙΟΥ ΑΙΓΑΙΟΥ - ΘΗΡΑΣ, </v>
      </c>
      <c r="O24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</v>
      </c>
    </row>
    <row r="249" spans="1:15" x14ac:dyDescent="0.3">
      <c r="A249" s="77">
        <v>248</v>
      </c>
      <c r="B249" t="s">
        <v>410</v>
      </c>
      <c r="C249" t="s">
        <v>280</v>
      </c>
      <c r="D249" t="s">
        <v>281</v>
      </c>
      <c r="E249" t="s">
        <v>787</v>
      </c>
      <c r="F249">
        <v>14144</v>
      </c>
      <c r="G249" t="str">
        <f>LOOKUP(B249,ΠΕΡΙΦΕΡΕΙΑ!$A$2:$A$14,ΠΕΡΙΦΕΡΕΙΑ!$B$2:$B$14)</f>
        <v>Μερική</v>
      </c>
      <c r="H249">
        <f t="shared" si="21"/>
        <v>248</v>
      </c>
      <c r="I249">
        <f t="shared" si="22"/>
        <v>248</v>
      </c>
      <c r="J249" t="str">
        <f t="shared" si="25"/>
        <v>ΙΗΤΩΝ - ΝΟΤΙΟΥ ΑΙΓΑΙΟΥ</v>
      </c>
      <c r="K249" t="str">
        <f t="shared" si="23"/>
        <v>ΝΟΤΙΟΥ ΑΙΓΑΙΟΥ</v>
      </c>
      <c r="L249" t="str">
        <f t="shared" si="24"/>
        <v>ΙΗΤΩΝ</v>
      </c>
      <c r="M249" s="65" t="s">
        <v>418</v>
      </c>
      <c r="N249" t="str">
        <f t="shared" si="26"/>
        <v/>
      </c>
      <c r="O24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</v>
      </c>
    </row>
    <row r="250" spans="1:15" x14ac:dyDescent="0.3">
      <c r="A250" s="77">
        <v>249</v>
      </c>
      <c r="B250" t="s">
        <v>410</v>
      </c>
      <c r="C250" t="s">
        <v>388</v>
      </c>
      <c r="D250" t="s">
        <v>286</v>
      </c>
      <c r="E250" t="s">
        <v>788</v>
      </c>
      <c r="F250">
        <v>14184</v>
      </c>
      <c r="G250" t="str">
        <f>LOOKUP(B250,ΠΕΡΙΦΕΡΕΙΑ!$A$2:$A$14,ΠΕΡΙΦΕΡΕΙΑ!$B$2:$B$14)</f>
        <v>Μερική</v>
      </c>
      <c r="H250">
        <f t="shared" si="21"/>
        <v>249</v>
      </c>
      <c r="I250">
        <f t="shared" si="22"/>
        <v>249</v>
      </c>
      <c r="J250" t="str">
        <f t="shared" si="25"/>
        <v>ΚΑΛΥΜΝΙΩΝ - ΝΟΤΙΟΥ ΑΙΓΑΙΟΥ</v>
      </c>
      <c r="K250" t="str">
        <f t="shared" si="23"/>
        <v>ΝΟΤΙΟΥ ΑΙΓΑΙΟΥ</v>
      </c>
      <c r="L250" t="str">
        <f t="shared" si="24"/>
        <v>ΚΑΛΥΜΝΙΩΝ</v>
      </c>
      <c r="M250" s="65" t="s">
        <v>418</v>
      </c>
      <c r="N250" t="str">
        <f t="shared" si="26"/>
        <v/>
      </c>
      <c r="O25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</v>
      </c>
    </row>
    <row r="251" spans="1:15" x14ac:dyDescent="0.3">
      <c r="A251" s="77">
        <v>250</v>
      </c>
      <c r="B251" t="s">
        <v>410</v>
      </c>
      <c r="C251" t="s">
        <v>290</v>
      </c>
      <c r="D251" t="s">
        <v>290</v>
      </c>
      <c r="E251" t="s">
        <v>789</v>
      </c>
      <c r="F251">
        <v>14190</v>
      </c>
      <c r="G251" t="str">
        <f>LOOKUP(B251,ΠΕΡΙΦΕΡΕΙΑ!$A$2:$A$14,ΠΕΡΙΦΕΡΕΙΑ!$B$2:$B$14)</f>
        <v>Μερική</v>
      </c>
      <c r="H251">
        <f t="shared" si="21"/>
        <v>250</v>
      </c>
      <c r="I251">
        <f t="shared" si="22"/>
        <v>250</v>
      </c>
      <c r="J251" t="str">
        <f t="shared" si="25"/>
        <v>ΚΑΡΠΑΘΟΥ - ΝΟΤΙΟΥ ΑΙΓΑΙΟΥ</v>
      </c>
      <c r="K251" t="str">
        <f t="shared" si="23"/>
        <v>ΝΟΤΙΟΥ ΑΙΓΑΙΟΥ</v>
      </c>
      <c r="L251" t="str">
        <f t="shared" si="24"/>
        <v>ΚΑΡΠΑΘΟΥ</v>
      </c>
      <c r="M251" s="65" t="s">
        <v>418</v>
      </c>
      <c r="N251" t="str">
        <f t="shared" si="26"/>
        <v/>
      </c>
      <c r="O25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</v>
      </c>
    </row>
    <row r="252" spans="1:15" x14ac:dyDescent="0.3">
      <c r="A252" s="77">
        <v>251</v>
      </c>
      <c r="B252" t="s">
        <v>410</v>
      </c>
      <c r="C252" t="s">
        <v>290</v>
      </c>
      <c r="D252" t="s">
        <v>291</v>
      </c>
      <c r="E252" t="s">
        <v>790</v>
      </c>
      <c r="F252">
        <v>14198</v>
      </c>
      <c r="G252" t="str">
        <f>LOOKUP(B252,ΠΕΡΙΦΕΡΕΙΑ!$A$2:$A$14,ΠΕΡΙΦΕΡΕΙΑ!$B$2:$B$14)</f>
        <v>Μερική</v>
      </c>
      <c r="H252">
        <f t="shared" si="21"/>
        <v>251</v>
      </c>
      <c r="I252">
        <f t="shared" si="22"/>
        <v>251</v>
      </c>
      <c r="J252" t="str">
        <f t="shared" si="25"/>
        <v>ΚΑΣΟΥ - ΝΟΤΙΟΥ ΑΙΓΑΙΟΥ</v>
      </c>
      <c r="K252" t="str">
        <f t="shared" si="23"/>
        <v>ΝΟΤΙΟΥ ΑΙΓΑΙΟΥ</v>
      </c>
      <c r="L252" t="str">
        <f t="shared" si="24"/>
        <v>ΚΑΣΟΥ</v>
      </c>
      <c r="M252" s="65" t="s">
        <v>418</v>
      </c>
      <c r="N252" t="str">
        <f t="shared" si="26"/>
        <v/>
      </c>
      <c r="O25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</v>
      </c>
    </row>
    <row r="253" spans="1:15" x14ac:dyDescent="0.3">
      <c r="A253" s="77">
        <v>252</v>
      </c>
      <c r="B253" t="s">
        <v>410</v>
      </c>
      <c r="C253" t="s">
        <v>389</v>
      </c>
      <c r="D253" t="s">
        <v>292</v>
      </c>
      <c r="E253" t="s">
        <v>791</v>
      </c>
      <c r="F253">
        <v>14204</v>
      </c>
      <c r="G253" t="str">
        <f>LOOKUP(B253,ΠΕΡΙΦΕΡΕΙΑ!$A$2:$A$14,ΠΕΡΙΦΕΡΕΙΑ!$B$2:$B$14)</f>
        <v>Μερική</v>
      </c>
      <c r="H253">
        <f t="shared" si="21"/>
        <v>252</v>
      </c>
      <c r="I253">
        <f t="shared" si="22"/>
        <v>252</v>
      </c>
      <c r="J253" t="str">
        <f t="shared" si="25"/>
        <v>ΚΕΑΣ - ΝΟΤΙΟΥ ΑΙΓΑΙΟΥ</v>
      </c>
      <c r="K253" t="str">
        <f t="shared" si="23"/>
        <v>ΝΟΤΙΟΥ ΑΙΓΑΙΟΥ</v>
      </c>
      <c r="L253" t="str">
        <f t="shared" si="24"/>
        <v>ΚΕΑΣ</v>
      </c>
      <c r="M253" s="65" t="s">
        <v>418</v>
      </c>
      <c r="N253" t="str">
        <f t="shared" si="26"/>
        <v/>
      </c>
      <c r="O25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</v>
      </c>
    </row>
    <row r="254" spans="1:15" x14ac:dyDescent="0.3">
      <c r="A254" s="77">
        <v>253</v>
      </c>
      <c r="B254" t="s">
        <v>410</v>
      </c>
      <c r="C254" t="s">
        <v>297</v>
      </c>
      <c r="D254" t="s">
        <v>296</v>
      </c>
      <c r="E254" t="s">
        <v>792</v>
      </c>
      <c r="F254">
        <v>14214</v>
      </c>
      <c r="G254" t="str">
        <f>LOOKUP(B254,ΠΕΡΙΦΕΡΕΙΑ!$A$2:$A$14,ΠΕΡΙΦΕΡΕΙΑ!$B$2:$B$14)</f>
        <v>Μερική</v>
      </c>
      <c r="H254">
        <f t="shared" si="21"/>
        <v>253</v>
      </c>
      <c r="I254">
        <f t="shared" si="22"/>
        <v>253</v>
      </c>
      <c r="J254" t="str">
        <f t="shared" si="25"/>
        <v>ΚΙΜΩΛΟΥ - ΝΟΤΙΟΥ ΑΙΓΑΙΟΥ</v>
      </c>
      <c r="K254" t="str">
        <f t="shared" si="23"/>
        <v>ΝΟΤΙΟΥ ΑΙΓΑΙΟΥ</v>
      </c>
      <c r="L254" t="str">
        <f t="shared" si="24"/>
        <v>ΚΙΜΩΛΟΥ</v>
      </c>
      <c r="M254" s="65" t="s">
        <v>418</v>
      </c>
      <c r="N254" t="str">
        <f t="shared" si="26"/>
        <v/>
      </c>
      <c r="O25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</v>
      </c>
    </row>
    <row r="255" spans="1:15" x14ac:dyDescent="0.3">
      <c r="A255" s="77">
        <v>254</v>
      </c>
      <c r="B255" t="s">
        <v>410</v>
      </c>
      <c r="C255" t="s">
        <v>389</v>
      </c>
      <c r="D255" t="s">
        <v>293</v>
      </c>
      <c r="E255" t="s">
        <v>793</v>
      </c>
      <c r="F255">
        <v>14232</v>
      </c>
      <c r="G255" t="str">
        <f>LOOKUP(B255,ΠΕΡΙΦΕΡΕΙΑ!$A$2:$A$14,ΠΕΡΙΦΕΡΕΙΑ!$B$2:$B$14)</f>
        <v>Μερική</v>
      </c>
      <c r="H255">
        <f t="shared" si="21"/>
        <v>254</v>
      </c>
      <c r="I255">
        <f t="shared" si="22"/>
        <v>254</v>
      </c>
      <c r="J255" t="str">
        <f t="shared" si="25"/>
        <v>ΚΥΘΝΟΥ - ΝΟΤΙΟΥ ΑΙΓΑΙΟΥ</v>
      </c>
      <c r="K255" t="str">
        <f t="shared" si="23"/>
        <v>ΝΟΤΙΟΥ ΑΙΓΑΙΟΥ</v>
      </c>
      <c r="L255" t="str">
        <f t="shared" si="24"/>
        <v>ΚΥΘΝΟΥ</v>
      </c>
      <c r="M255" s="65" t="s">
        <v>418</v>
      </c>
      <c r="N255" t="str">
        <f t="shared" si="26"/>
        <v/>
      </c>
      <c r="O25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</v>
      </c>
    </row>
    <row r="256" spans="1:15" x14ac:dyDescent="0.3">
      <c r="A256" s="77">
        <v>255</v>
      </c>
      <c r="B256" t="s">
        <v>410</v>
      </c>
      <c r="C256" t="s">
        <v>294</v>
      </c>
      <c r="D256" t="s">
        <v>294</v>
      </c>
      <c r="E256" t="s">
        <v>794</v>
      </c>
      <c r="F256">
        <v>14170</v>
      </c>
      <c r="G256" t="str">
        <f>LOOKUP(B256,ΠΕΡΙΦΕΡΕΙΑ!$A$2:$A$14,ΠΕΡΙΦΕΡΕΙΑ!$B$2:$B$14)</f>
        <v>Μερική</v>
      </c>
      <c r="H256">
        <f t="shared" si="21"/>
        <v>255</v>
      </c>
      <c r="I256">
        <f t="shared" si="22"/>
        <v>255</v>
      </c>
      <c r="J256" t="str">
        <f t="shared" si="25"/>
        <v>ΚΩ - ΝΟΤΙΟΥ ΑΙΓΑΙΟΥ</v>
      </c>
      <c r="K256" t="str">
        <f t="shared" si="23"/>
        <v>ΝΟΤΙΟΥ ΑΙΓΑΙΟΥ</v>
      </c>
      <c r="L256" t="str">
        <f t="shared" si="24"/>
        <v>ΚΩ</v>
      </c>
      <c r="M256" s="65" t="s">
        <v>417</v>
      </c>
      <c r="N256" t="str">
        <f t="shared" si="26"/>
        <v xml:space="preserve">ΝΟΤΙΟΥ ΑΙΓΑΙΟΥ - ΚΩ, </v>
      </c>
      <c r="O25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</v>
      </c>
    </row>
    <row r="257" spans="1:15" x14ac:dyDescent="0.3">
      <c r="A257" s="77">
        <v>256</v>
      </c>
      <c r="B257" t="s">
        <v>410</v>
      </c>
      <c r="C257" t="s">
        <v>388</v>
      </c>
      <c r="D257" t="s">
        <v>287</v>
      </c>
      <c r="E257" t="s">
        <v>795</v>
      </c>
      <c r="F257">
        <v>14252</v>
      </c>
      <c r="G257" t="str">
        <f>LOOKUP(B257,ΠΕΡΙΦΕΡΕΙΑ!$A$2:$A$14,ΠΕΡΙΦΕΡΕΙΑ!$B$2:$B$14)</f>
        <v>Μερική</v>
      </c>
      <c r="H257">
        <f t="shared" si="21"/>
        <v>256</v>
      </c>
      <c r="I257">
        <f t="shared" si="22"/>
        <v>256</v>
      </c>
      <c r="J257" t="str">
        <f t="shared" si="25"/>
        <v>ΛΕΙΨΩΝ - ΝΟΤΙΟΥ ΑΙΓΑΙΟΥ</v>
      </c>
      <c r="K257" t="str">
        <f t="shared" si="23"/>
        <v>ΝΟΤΙΟΥ ΑΙΓΑΙΟΥ</v>
      </c>
      <c r="L257" t="str">
        <f t="shared" si="24"/>
        <v>ΛΕΙΨΩΝ</v>
      </c>
      <c r="M257" s="65" t="s">
        <v>418</v>
      </c>
      <c r="N257" t="str">
        <f t="shared" si="26"/>
        <v/>
      </c>
      <c r="O25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</v>
      </c>
    </row>
    <row r="258" spans="1:15" x14ac:dyDescent="0.3">
      <c r="A258" s="77">
        <v>257</v>
      </c>
      <c r="B258" t="s">
        <v>410</v>
      </c>
      <c r="C258" t="s">
        <v>388</v>
      </c>
      <c r="D258" t="s">
        <v>288</v>
      </c>
      <c r="E258" t="s">
        <v>796</v>
      </c>
      <c r="F258">
        <v>14254</v>
      </c>
      <c r="G258" t="str">
        <f>LOOKUP(B258,ΠΕΡΙΦΕΡΕΙΑ!$A$2:$A$14,ΠΕΡΙΦΕΡΕΙΑ!$B$2:$B$14)</f>
        <v>Μερική</v>
      </c>
      <c r="H258">
        <f t="shared" ref="H258:H321" si="28">IF(G258="Μερική",A258,"")</f>
        <v>257</v>
      </c>
      <c r="I258">
        <f t="shared" ref="I258:I321" si="29">SMALL(H:H,A258)</f>
        <v>257</v>
      </c>
      <c r="J258" t="str">
        <f t="shared" si="25"/>
        <v>ΛΕΡΟΥ - ΝΟΤΙΟΥ ΑΙΓΑΙΟΥ</v>
      </c>
      <c r="K258" t="str">
        <f t="shared" ref="K258:K326" si="30">IF(ISNUMBER(I258),LOOKUP(I258,A:A,B:B),"")</f>
        <v>ΝΟΤΙΟΥ ΑΙΓΑΙΟΥ</v>
      </c>
      <c r="L258" t="str">
        <f t="shared" ref="L258:L326" si="31">IF(ISNUMBER(I258),LOOKUP(I258,A:A,D:D),"")</f>
        <v>ΛΕΡΟΥ</v>
      </c>
      <c r="M258" s="65" t="s">
        <v>418</v>
      </c>
      <c r="N258" t="str">
        <f t="shared" si="26"/>
        <v/>
      </c>
      <c r="O25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</v>
      </c>
    </row>
    <row r="259" spans="1:15" x14ac:dyDescent="0.3">
      <c r="A259" s="77">
        <v>258</v>
      </c>
      <c r="B259" t="s">
        <v>410</v>
      </c>
      <c r="C259" t="s">
        <v>306</v>
      </c>
      <c r="D259" t="s">
        <v>305</v>
      </c>
      <c r="E259" t="s">
        <v>797</v>
      </c>
      <c r="F259">
        <v>14290</v>
      </c>
      <c r="G259" t="str">
        <f>LOOKUP(B259,ΠΕΡΙΦΕΡΕΙΑ!$A$2:$A$14,ΠΕΡΙΦΕΡΕΙΑ!$B$2:$B$14)</f>
        <v>Μερική</v>
      </c>
      <c r="H259">
        <f t="shared" si="28"/>
        <v>258</v>
      </c>
      <c r="I259">
        <f t="shared" si="29"/>
        <v>258</v>
      </c>
      <c r="J259" t="str">
        <f t="shared" ref="J259:J322" si="32">CONCATENATE(L259," - ",K259)</f>
        <v>ΜΕΓΙΣΤΗΣ - ΝΟΤΙΟΥ ΑΙΓΑΙΟΥ</v>
      </c>
      <c r="K259" t="str">
        <f t="shared" si="30"/>
        <v>ΝΟΤΙΟΥ ΑΙΓΑΙΟΥ</v>
      </c>
      <c r="L259" t="str">
        <f t="shared" si="31"/>
        <v>ΜΕΓΙΣΤΗΣ</v>
      </c>
      <c r="M259" s="65" t="s">
        <v>418</v>
      </c>
      <c r="N259" t="str">
        <f t="shared" ref="N259:N322" si="33">IF(L259&lt;&gt;"",IF(M259="ΝΑΙ",K259&amp;" - "&amp;L259&amp;", ",""),"")</f>
        <v/>
      </c>
      <c r="O25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</v>
      </c>
    </row>
    <row r="260" spans="1:15" x14ac:dyDescent="0.3">
      <c r="A260" s="77">
        <v>259</v>
      </c>
      <c r="B260" t="s">
        <v>410</v>
      </c>
      <c r="C260" t="s">
        <v>297</v>
      </c>
      <c r="D260" t="s">
        <v>297</v>
      </c>
      <c r="E260" t="s">
        <v>798</v>
      </c>
      <c r="F260">
        <v>14296</v>
      </c>
      <c r="G260" t="str">
        <f>LOOKUP(B260,ΠΕΡΙΦΕΡΕΙΑ!$A$2:$A$14,ΠΕΡΙΦΕΡΕΙΑ!$B$2:$B$14)</f>
        <v>Μερική</v>
      </c>
      <c r="H260">
        <f t="shared" si="28"/>
        <v>259</v>
      </c>
      <c r="I260">
        <f t="shared" si="29"/>
        <v>259</v>
      </c>
      <c r="J260" t="str">
        <f t="shared" si="32"/>
        <v>ΜΗΛΟΥ - ΝΟΤΙΟΥ ΑΙΓΑΙΟΥ</v>
      </c>
      <c r="K260" t="str">
        <f t="shared" si="30"/>
        <v>ΝΟΤΙΟΥ ΑΙΓΑΙΟΥ</v>
      </c>
      <c r="L260" t="str">
        <f t="shared" si="31"/>
        <v>ΜΗΛΟΥ</v>
      </c>
      <c r="M260" s="65" t="s">
        <v>417</v>
      </c>
      <c r="N260" t="str">
        <f t="shared" si="33"/>
        <v xml:space="preserve">ΝΟΤΙΟΥ ΑΙΓΑΙΟΥ - ΜΗΛΟΥ, </v>
      </c>
      <c r="O260" t="str">
        <f t="shared" ref="O260:O323" si="34">O259&amp;N260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</v>
      </c>
    </row>
    <row r="261" spans="1:15" x14ac:dyDescent="0.3">
      <c r="A261" s="77">
        <v>260</v>
      </c>
      <c r="B261" t="s">
        <v>410</v>
      </c>
      <c r="C261" t="s">
        <v>300</v>
      </c>
      <c r="D261" t="s">
        <v>300</v>
      </c>
      <c r="E261" t="s">
        <v>799</v>
      </c>
      <c r="F261">
        <v>14306</v>
      </c>
      <c r="G261" t="str">
        <f>LOOKUP(B261,ΠΕΡΙΦΕΡΕΙΑ!$A$2:$A$14,ΠΕΡΙΦΕΡΕΙΑ!$B$2:$B$14)</f>
        <v>Μερική</v>
      </c>
      <c r="H261">
        <f t="shared" si="28"/>
        <v>260</v>
      </c>
      <c r="I261">
        <f t="shared" si="29"/>
        <v>260</v>
      </c>
      <c r="J261" t="str">
        <f t="shared" si="32"/>
        <v>ΜΥΚΟΝΟΥ - ΝΟΤΙΟΥ ΑΙΓΑΙΟΥ</v>
      </c>
      <c r="K261" t="str">
        <f t="shared" si="30"/>
        <v>ΝΟΤΙΟΥ ΑΙΓΑΙΟΥ</v>
      </c>
      <c r="L261" t="str">
        <f t="shared" si="31"/>
        <v>ΜΥΚΟΝΟΥ</v>
      </c>
      <c r="M261" s="65" t="s">
        <v>417</v>
      </c>
      <c r="N261" t="str">
        <f t="shared" si="33"/>
        <v xml:space="preserve">ΝΟΤΙΟΥ ΑΙΓΑΙΟΥ - ΜΥΚΟΝΟΥ, </v>
      </c>
      <c r="O26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</v>
      </c>
    </row>
    <row r="262" spans="1:15" x14ac:dyDescent="0.3">
      <c r="A262" s="77">
        <v>261</v>
      </c>
      <c r="B262" t="s">
        <v>410</v>
      </c>
      <c r="C262" t="s">
        <v>390</v>
      </c>
      <c r="D262" t="s">
        <v>302</v>
      </c>
      <c r="E262" t="s">
        <v>800</v>
      </c>
      <c r="F262">
        <v>14310</v>
      </c>
      <c r="G262" t="str">
        <f>LOOKUP(B262,ΠΕΡΙΦΕΡΕΙΑ!$A$2:$A$14,ΠΕΡΙΦΕΡΕΙΑ!$B$2:$B$14)</f>
        <v>Μερική</v>
      </c>
      <c r="H262">
        <f t="shared" si="28"/>
        <v>261</v>
      </c>
      <c r="I262">
        <f t="shared" si="29"/>
        <v>261</v>
      </c>
      <c r="J262" t="str">
        <f t="shared" si="32"/>
        <v>ΝΑΞΟΥ ΚΑΙ ΜΙΚΡΩΝ ΚΥΚΛΑΔΩΝ - ΝΟΤΙΟΥ ΑΙΓΑΙΟΥ</v>
      </c>
      <c r="K262" t="str">
        <f t="shared" si="30"/>
        <v>ΝΟΤΙΟΥ ΑΙΓΑΙΟΥ</v>
      </c>
      <c r="L262" t="str">
        <f t="shared" si="31"/>
        <v>ΝΑΞΟΥ ΚΑΙ ΜΙΚΡΩΝ ΚΥΚΛΑΔΩΝ</v>
      </c>
      <c r="M262" s="65" t="s">
        <v>417</v>
      </c>
      <c r="N262" t="str">
        <f t="shared" si="33"/>
        <v xml:space="preserve">ΝΟΤΙΟΥ ΑΙΓΑΙΟΥ - ΝΑΞΟΥ ΚΑΙ ΜΙΚΡΩΝ ΚΥΚΛΑΔΩΝ, </v>
      </c>
      <c r="O26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</v>
      </c>
    </row>
    <row r="263" spans="1:15" x14ac:dyDescent="0.3">
      <c r="A263" s="77">
        <v>262</v>
      </c>
      <c r="B263" t="s">
        <v>410</v>
      </c>
      <c r="C263" t="s">
        <v>294</v>
      </c>
      <c r="D263" t="s">
        <v>295</v>
      </c>
      <c r="E263" t="s">
        <v>801</v>
      </c>
      <c r="F263">
        <v>14328</v>
      </c>
      <c r="G263" t="str">
        <f>LOOKUP(B263,ΠΕΡΙΦΕΡΕΙΑ!$A$2:$A$14,ΠΕΡΙΦΕΡΕΙΑ!$B$2:$B$14)</f>
        <v>Μερική</v>
      </c>
      <c r="H263">
        <f t="shared" si="28"/>
        <v>262</v>
      </c>
      <c r="I263">
        <f t="shared" si="29"/>
        <v>262</v>
      </c>
      <c r="J263" t="str">
        <f t="shared" si="32"/>
        <v>ΝΙΣΥΡΟΥ - ΝΟΤΙΟΥ ΑΙΓΑΙΟΥ</v>
      </c>
      <c r="K263" t="str">
        <f t="shared" si="30"/>
        <v>ΝΟΤΙΟΥ ΑΙΓΑΙΟΥ</v>
      </c>
      <c r="L263" t="str">
        <f t="shared" si="31"/>
        <v>ΝΙΣΥΡΟΥ</v>
      </c>
      <c r="M263" s="65" t="s">
        <v>418</v>
      </c>
      <c r="N263" t="str">
        <f t="shared" si="33"/>
        <v/>
      </c>
      <c r="O26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</v>
      </c>
    </row>
    <row r="264" spans="1:15" x14ac:dyDescent="0.3">
      <c r="A264" s="77">
        <v>263</v>
      </c>
      <c r="B264" t="s">
        <v>410</v>
      </c>
      <c r="C264" t="s">
        <v>304</v>
      </c>
      <c r="D264" t="s">
        <v>304</v>
      </c>
      <c r="E264" t="s">
        <v>802</v>
      </c>
      <c r="F264">
        <v>14400</v>
      </c>
      <c r="G264" t="str">
        <f>LOOKUP(B264,ΠΕΡΙΦΕΡΕΙΑ!$A$2:$A$14,ΠΕΡΙΦΕΡΕΙΑ!$B$2:$B$14)</f>
        <v>Μερική</v>
      </c>
      <c r="H264">
        <f t="shared" si="28"/>
        <v>263</v>
      </c>
      <c r="I264">
        <f t="shared" si="29"/>
        <v>263</v>
      </c>
      <c r="J264" t="str">
        <f t="shared" si="32"/>
        <v>ΠΑΡΟΥ - ΝΟΤΙΟΥ ΑΙΓΑΙΟΥ</v>
      </c>
      <c r="K264" t="str">
        <f t="shared" si="30"/>
        <v>ΝΟΤΙΟΥ ΑΙΓΑΙΟΥ</v>
      </c>
      <c r="L264" t="str">
        <f t="shared" si="31"/>
        <v>ΠΑΡΟΥ</v>
      </c>
      <c r="M264" s="65" t="s">
        <v>417</v>
      </c>
      <c r="N264" t="str">
        <f t="shared" si="33"/>
        <v xml:space="preserve">ΝΟΤΙΟΥ ΑΙΓΑΙΟΥ - ΠΑΡΟΥ, </v>
      </c>
      <c r="O26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</v>
      </c>
    </row>
    <row r="265" spans="1:15" x14ac:dyDescent="0.3">
      <c r="A265" s="77">
        <v>264</v>
      </c>
      <c r="B265" t="s">
        <v>410</v>
      </c>
      <c r="C265" t="s">
        <v>388</v>
      </c>
      <c r="D265" t="s">
        <v>289</v>
      </c>
      <c r="E265" t="s">
        <v>803</v>
      </c>
      <c r="F265">
        <v>14364</v>
      </c>
      <c r="G265" t="str">
        <f>LOOKUP(B265,ΠΕΡΙΦΕΡΕΙΑ!$A$2:$A$14,ΠΕΡΙΦΕΡΕΙΑ!$B$2:$B$14)</f>
        <v>Μερική</v>
      </c>
      <c r="H265">
        <f t="shared" si="28"/>
        <v>264</v>
      </c>
      <c r="I265">
        <f t="shared" si="29"/>
        <v>264</v>
      </c>
      <c r="J265" t="str">
        <f t="shared" si="32"/>
        <v>ΠΑΤΜΟΥ - ΝΟΤΙΟΥ ΑΙΓΑΙΟΥ</v>
      </c>
      <c r="K265" t="str">
        <f t="shared" si="30"/>
        <v>ΝΟΤΙΟΥ ΑΙΓΑΙΟΥ</v>
      </c>
      <c r="L265" t="str">
        <f t="shared" si="31"/>
        <v>ΠΑΤΜΟΥ</v>
      </c>
      <c r="M265" s="65" t="s">
        <v>418</v>
      </c>
      <c r="N265" t="str">
        <f t="shared" si="33"/>
        <v/>
      </c>
      <c r="O26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</v>
      </c>
    </row>
    <row r="266" spans="1:15" x14ac:dyDescent="0.3">
      <c r="A266" s="77">
        <v>265</v>
      </c>
      <c r="B266" t="s">
        <v>410</v>
      </c>
      <c r="C266" t="s">
        <v>306</v>
      </c>
      <c r="D266" t="s">
        <v>306</v>
      </c>
      <c r="E266" t="s">
        <v>804</v>
      </c>
      <c r="F266">
        <v>14436</v>
      </c>
      <c r="G266" t="str">
        <f>LOOKUP(B266,ΠΕΡΙΦΕΡΕΙΑ!$A$2:$A$14,ΠΕΡΙΦΕΡΕΙΑ!$B$2:$B$14)</f>
        <v>Μερική</v>
      </c>
      <c r="H266">
        <f t="shared" si="28"/>
        <v>265</v>
      </c>
      <c r="I266">
        <f t="shared" si="29"/>
        <v>265</v>
      </c>
      <c r="J266" t="str">
        <f t="shared" si="32"/>
        <v>ΡΟΔΟΥ - ΝΟΤΙΟΥ ΑΙΓΑΙΟΥ</v>
      </c>
      <c r="K266" t="str">
        <f t="shared" si="30"/>
        <v>ΝΟΤΙΟΥ ΑΙΓΑΙΟΥ</v>
      </c>
      <c r="L266" t="str">
        <f t="shared" si="31"/>
        <v>ΡΟΔΟΥ</v>
      </c>
      <c r="M266" s="65" t="s">
        <v>417</v>
      </c>
      <c r="N266" t="str">
        <f t="shared" si="33"/>
        <v xml:space="preserve">ΝΟΤΙΟΥ ΑΙΓΑΙΟΥ - ΡΟΔΟΥ, </v>
      </c>
      <c r="O26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</v>
      </c>
    </row>
    <row r="267" spans="1:15" x14ac:dyDescent="0.3">
      <c r="A267" s="77">
        <v>266</v>
      </c>
      <c r="B267" t="s">
        <v>410</v>
      </c>
      <c r="C267" t="s">
        <v>297</v>
      </c>
      <c r="D267" t="s">
        <v>298</v>
      </c>
      <c r="E267" t="s">
        <v>805</v>
      </c>
      <c r="F267">
        <v>14450</v>
      </c>
      <c r="G267" t="str">
        <f>LOOKUP(B267,ΠΕΡΙΦΕΡΕΙΑ!$A$2:$A$14,ΠΕΡΙΦΕΡΕΙΑ!$B$2:$B$14)</f>
        <v>Μερική</v>
      </c>
      <c r="H267">
        <f t="shared" si="28"/>
        <v>266</v>
      </c>
      <c r="I267">
        <f t="shared" si="29"/>
        <v>266</v>
      </c>
      <c r="J267" t="str">
        <f t="shared" si="32"/>
        <v>ΣΕΡΙΦΟΥ - ΝΟΤΙΟΥ ΑΙΓΑΙΟΥ</v>
      </c>
      <c r="K267" t="str">
        <f t="shared" si="30"/>
        <v>ΝΟΤΙΟΥ ΑΙΓΑΙΟΥ</v>
      </c>
      <c r="L267" t="str">
        <f t="shared" si="31"/>
        <v>ΣΕΡΙΦΟΥ</v>
      </c>
      <c r="M267" s="65" t="s">
        <v>418</v>
      </c>
      <c r="N267" t="str">
        <f t="shared" si="33"/>
        <v/>
      </c>
      <c r="O26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</v>
      </c>
    </row>
    <row r="268" spans="1:15" x14ac:dyDescent="0.3">
      <c r="A268" s="77">
        <v>267</v>
      </c>
      <c r="B268" t="s">
        <v>410</v>
      </c>
      <c r="C268" t="s">
        <v>280</v>
      </c>
      <c r="D268" t="s">
        <v>282</v>
      </c>
      <c r="E268" t="s">
        <v>806</v>
      </c>
      <c r="F268">
        <v>14458</v>
      </c>
      <c r="G268" t="str">
        <f>LOOKUP(B268,ΠΕΡΙΦΕΡΕΙΑ!$A$2:$A$14,ΠΕΡΙΦΕΡΕΙΑ!$B$2:$B$14)</f>
        <v>Μερική</v>
      </c>
      <c r="H268">
        <f t="shared" si="28"/>
        <v>267</v>
      </c>
      <c r="I268">
        <f t="shared" si="29"/>
        <v>267</v>
      </c>
      <c r="J268" t="str">
        <f t="shared" si="32"/>
        <v>ΣΙΚΙΝΟΥ - ΝΟΤΙΟΥ ΑΙΓΑΙΟΥ</v>
      </c>
      <c r="K268" t="str">
        <f t="shared" si="30"/>
        <v>ΝΟΤΙΟΥ ΑΙΓΑΙΟΥ</v>
      </c>
      <c r="L268" t="str">
        <f t="shared" si="31"/>
        <v>ΣΙΚΙΝΟΥ</v>
      </c>
      <c r="M268" s="65" t="s">
        <v>418</v>
      </c>
      <c r="N268" t="str">
        <f t="shared" si="33"/>
        <v/>
      </c>
      <c r="O26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</v>
      </c>
    </row>
    <row r="269" spans="1:15" x14ac:dyDescent="0.3">
      <c r="A269" s="77">
        <v>268</v>
      </c>
      <c r="B269" t="s">
        <v>410</v>
      </c>
      <c r="C269" t="s">
        <v>297</v>
      </c>
      <c r="D269" t="s">
        <v>299</v>
      </c>
      <c r="E269" t="s">
        <v>807</v>
      </c>
      <c r="F269">
        <v>14464</v>
      </c>
      <c r="G269" t="str">
        <f>LOOKUP(B269,ΠΕΡΙΦΕΡΕΙΑ!$A$2:$A$14,ΠΕΡΙΦΕΡΕΙΑ!$B$2:$B$14)</f>
        <v>Μερική</v>
      </c>
      <c r="H269">
        <f t="shared" si="28"/>
        <v>268</v>
      </c>
      <c r="I269">
        <f t="shared" si="29"/>
        <v>268</v>
      </c>
      <c r="J269" t="str">
        <f t="shared" si="32"/>
        <v>ΣΙΦΝΟΥ - ΝΟΤΙΟΥ ΑΙΓΑΙΟΥ</v>
      </c>
      <c r="K269" t="str">
        <f t="shared" si="30"/>
        <v>ΝΟΤΙΟΥ ΑΙΓΑΙΟΥ</v>
      </c>
      <c r="L269" t="str">
        <f t="shared" si="31"/>
        <v>ΣΙΦΝΟΥ</v>
      </c>
      <c r="M269" s="65" t="s">
        <v>418</v>
      </c>
      <c r="N269" t="str">
        <f t="shared" si="33"/>
        <v/>
      </c>
      <c r="O26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</v>
      </c>
    </row>
    <row r="270" spans="1:15" x14ac:dyDescent="0.3">
      <c r="A270" s="77">
        <v>269</v>
      </c>
      <c r="B270" t="s">
        <v>410</v>
      </c>
      <c r="C270" t="s">
        <v>306</v>
      </c>
      <c r="D270" t="s">
        <v>307</v>
      </c>
      <c r="E270" t="s">
        <v>808</v>
      </c>
      <c r="F270">
        <v>14486</v>
      </c>
      <c r="G270" t="str">
        <f>LOOKUP(B270,ΠΕΡΙΦΕΡΕΙΑ!$A$2:$A$14,ΠΕΡΙΦΕΡΕΙΑ!$B$2:$B$14)</f>
        <v>Μερική</v>
      </c>
      <c r="H270">
        <f t="shared" si="28"/>
        <v>269</v>
      </c>
      <c r="I270">
        <f t="shared" si="29"/>
        <v>269</v>
      </c>
      <c r="J270" t="str">
        <f t="shared" si="32"/>
        <v>ΣΥΜΗΣ - ΝΟΤΙΟΥ ΑΙΓΑΙΟΥ</v>
      </c>
      <c r="K270" t="str">
        <f t="shared" si="30"/>
        <v>ΝΟΤΙΟΥ ΑΙΓΑΙΟΥ</v>
      </c>
      <c r="L270" t="str">
        <f t="shared" si="31"/>
        <v>ΣΥΜΗΣ</v>
      </c>
      <c r="M270" s="65" t="s">
        <v>418</v>
      </c>
      <c r="N270" t="str">
        <f t="shared" si="33"/>
        <v/>
      </c>
      <c r="O27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</v>
      </c>
    </row>
    <row r="271" spans="1:15" x14ac:dyDescent="0.3">
      <c r="A271" s="77">
        <v>270</v>
      </c>
      <c r="B271" t="s">
        <v>410</v>
      </c>
      <c r="C271" t="s">
        <v>391</v>
      </c>
      <c r="D271" t="s">
        <v>310</v>
      </c>
      <c r="E271" t="s">
        <v>809</v>
      </c>
      <c r="F271">
        <v>14488</v>
      </c>
      <c r="G271" t="str">
        <f>LOOKUP(B271,ΠΕΡΙΦΕΡΕΙΑ!$A$2:$A$14,ΠΕΡΙΦΕΡΕΙΑ!$B$2:$B$14)</f>
        <v>Μερική</v>
      </c>
      <c r="H271">
        <f t="shared" si="28"/>
        <v>270</v>
      </c>
      <c r="I271">
        <f t="shared" si="29"/>
        <v>270</v>
      </c>
      <c r="J271" t="str">
        <f t="shared" si="32"/>
        <v>ΣΥΡΟΥ – ΕΡΜΟΥΠΟΛΗΣ - ΝΟΤΙΟΥ ΑΙΓΑΙΟΥ</v>
      </c>
      <c r="K271" t="str">
        <f t="shared" si="30"/>
        <v>ΝΟΤΙΟΥ ΑΙΓΑΙΟΥ</v>
      </c>
      <c r="L271" t="str">
        <f t="shared" si="31"/>
        <v>ΣΥΡΟΥ – ΕΡΜΟΥΠΟΛΗΣ</v>
      </c>
      <c r="M271" s="65" t="s">
        <v>417</v>
      </c>
      <c r="N271" t="str">
        <f t="shared" si="33"/>
        <v xml:space="preserve">ΝΟΤΙΟΥ ΑΙΓΑΙΟΥ - ΣΥΡΟΥ – ΕΡΜΟΥΠΟΛΗΣ, </v>
      </c>
      <c r="O27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</v>
      </c>
    </row>
    <row r="272" spans="1:15" x14ac:dyDescent="0.3">
      <c r="A272" s="77">
        <v>271</v>
      </c>
      <c r="B272" t="s">
        <v>410</v>
      </c>
      <c r="C272" t="s">
        <v>306</v>
      </c>
      <c r="D272" t="s">
        <v>308</v>
      </c>
      <c r="E272" t="s">
        <v>810</v>
      </c>
      <c r="F272">
        <v>14496</v>
      </c>
      <c r="G272" t="str">
        <f>LOOKUP(B272,ΠΕΡΙΦΕΡΕΙΑ!$A$2:$A$14,ΠΕΡΙΦΕΡΕΙΑ!$B$2:$B$14)</f>
        <v>Μερική</v>
      </c>
      <c r="H272">
        <f t="shared" si="28"/>
        <v>271</v>
      </c>
      <c r="I272">
        <f t="shared" si="29"/>
        <v>271</v>
      </c>
      <c r="J272" t="str">
        <f t="shared" si="32"/>
        <v>ΤΗΛΟΥ - ΝΟΤΙΟΥ ΑΙΓΑΙΟΥ</v>
      </c>
      <c r="K272" t="str">
        <f t="shared" si="30"/>
        <v>ΝΟΤΙΟΥ ΑΙΓΑΙΟΥ</v>
      </c>
      <c r="L272" t="str">
        <f t="shared" si="31"/>
        <v>ΤΗΛΟΥ</v>
      </c>
      <c r="M272" s="65" t="s">
        <v>418</v>
      </c>
      <c r="N272" t="str">
        <f t="shared" si="33"/>
        <v/>
      </c>
      <c r="O27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</v>
      </c>
    </row>
    <row r="273" spans="1:15" x14ac:dyDescent="0.3">
      <c r="A273" s="77">
        <v>272</v>
      </c>
      <c r="B273" t="s">
        <v>410</v>
      </c>
      <c r="C273" t="s">
        <v>311</v>
      </c>
      <c r="D273" t="s">
        <v>311</v>
      </c>
      <c r="E273" t="s">
        <v>811</v>
      </c>
      <c r="F273">
        <v>14498</v>
      </c>
      <c r="G273" t="str">
        <f>LOOKUP(B273,ΠΕΡΙΦΕΡΕΙΑ!$A$2:$A$14,ΠΕΡΙΦΕΡΕΙΑ!$B$2:$B$14)</f>
        <v>Μερική</v>
      </c>
      <c r="H273">
        <f t="shared" si="28"/>
        <v>272</v>
      </c>
      <c r="I273">
        <f t="shared" si="29"/>
        <v>272</v>
      </c>
      <c r="J273" t="str">
        <f t="shared" si="32"/>
        <v>ΤΗΝΟΥ - ΝΟΤΙΟΥ ΑΙΓΑΙΟΥ</v>
      </c>
      <c r="K273" t="str">
        <f t="shared" si="30"/>
        <v>ΝΟΤΙΟΥ ΑΙΓΑΙΟΥ</v>
      </c>
      <c r="L273" t="str">
        <f t="shared" si="31"/>
        <v>ΤΗΝΟΥ</v>
      </c>
      <c r="M273" s="65" t="s">
        <v>417</v>
      </c>
      <c r="N273" t="str">
        <f t="shared" si="33"/>
        <v xml:space="preserve">ΝΟΤΙΟΥ ΑΙΓΑΙΟΥ - ΤΗΝΟΥ, </v>
      </c>
      <c r="O27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</v>
      </c>
    </row>
    <row r="274" spans="1:15" x14ac:dyDescent="0.3">
      <c r="A274" s="77">
        <v>273</v>
      </c>
      <c r="B274" t="s">
        <v>410</v>
      </c>
      <c r="C274" t="s">
        <v>280</v>
      </c>
      <c r="D274" t="s">
        <v>283</v>
      </c>
      <c r="E274" t="s">
        <v>812</v>
      </c>
      <c r="F274">
        <v>14522</v>
      </c>
      <c r="G274" t="str">
        <f>LOOKUP(B274,ΠΕΡΙΦΕΡΕΙΑ!$A$2:$A$14,ΠΕΡΙΦΕΡΕΙΑ!$B$2:$B$14)</f>
        <v>Μερική</v>
      </c>
      <c r="H274">
        <f t="shared" si="28"/>
        <v>273</v>
      </c>
      <c r="I274">
        <f t="shared" si="29"/>
        <v>273</v>
      </c>
      <c r="J274" t="str">
        <f t="shared" si="32"/>
        <v>ΦΟΛΕΓΑΝΔΡΟΥ - ΝΟΤΙΟΥ ΑΙΓΑΙΟΥ</v>
      </c>
      <c r="K274" t="str">
        <f t="shared" si="30"/>
        <v>ΝΟΤΙΟΥ ΑΙΓΑΙΟΥ</v>
      </c>
      <c r="L274" t="str">
        <f t="shared" si="31"/>
        <v>ΦΟΛΕΓΑΝΔΡΟΥ</v>
      </c>
      <c r="M274" s="65" t="s">
        <v>418</v>
      </c>
      <c r="N274" t="str">
        <f t="shared" si="33"/>
        <v/>
      </c>
      <c r="O27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</v>
      </c>
    </row>
    <row r="275" spans="1:15" x14ac:dyDescent="0.3">
      <c r="A275" s="77">
        <v>274</v>
      </c>
      <c r="B275" t="s">
        <v>410</v>
      </c>
      <c r="C275" t="s">
        <v>306</v>
      </c>
      <c r="D275" t="s">
        <v>309</v>
      </c>
      <c r="E275" t="s">
        <v>813</v>
      </c>
      <c r="F275">
        <v>14536</v>
      </c>
      <c r="G275" t="str">
        <f>LOOKUP(B275,ΠΕΡΙΦΕΡΕΙΑ!$A$2:$A$14,ΠΕΡΙΦΕΡΕΙΑ!$B$2:$B$14)</f>
        <v>Μερική</v>
      </c>
      <c r="H275">
        <f t="shared" si="28"/>
        <v>274</v>
      </c>
      <c r="I275">
        <f t="shared" si="29"/>
        <v>274</v>
      </c>
      <c r="J275" t="str">
        <f t="shared" si="32"/>
        <v>ΧΑΛΚΗΣ - ΝΟΤΙΟΥ ΑΙΓΑΙΟΥ</v>
      </c>
      <c r="K275" t="str">
        <f t="shared" si="30"/>
        <v>ΝΟΤΙΟΥ ΑΙΓΑΙΟΥ</v>
      </c>
      <c r="L275" t="str">
        <f t="shared" si="31"/>
        <v>ΧΑΛΚΗΣ</v>
      </c>
      <c r="M275" s="65" t="s">
        <v>418</v>
      </c>
      <c r="N275" t="str">
        <f t="shared" si="33"/>
        <v/>
      </c>
      <c r="O27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</v>
      </c>
    </row>
    <row r="276" spans="1:15" x14ac:dyDescent="0.3">
      <c r="A276" s="77">
        <v>275</v>
      </c>
      <c r="B276" t="s">
        <v>411</v>
      </c>
      <c r="C276" t="s">
        <v>395</v>
      </c>
      <c r="D276" t="s">
        <v>327</v>
      </c>
      <c r="E276" t="s">
        <v>814</v>
      </c>
      <c r="F276">
        <v>13980</v>
      </c>
      <c r="G276" t="str">
        <f>LOOKUP(B276,ΠΕΡΙΦΕΡΕΙΑ!$A$2:$A$14,ΠΕΡΙΦΕΡΕΙΑ!$B$2:$B$14)</f>
        <v>Μερική</v>
      </c>
      <c r="H276">
        <f t="shared" si="28"/>
        <v>275</v>
      </c>
      <c r="I276">
        <f t="shared" si="29"/>
        <v>275</v>
      </c>
      <c r="J276" t="str">
        <f t="shared" si="32"/>
        <v>ΑΝΑΤΟΛΙΚΗΣ ΜΑΝΗΣ - ΠΕΛΟΠΟΝΝΗΣΟΥ</v>
      </c>
      <c r="K276" t="str">
        <f t="shared" si="30"/>
        <v>ΠΕΛΟΠΟΝΝΗΣΟΥ</v>
      </c>
      <c r="L276" t="str">
        <f t="shared" si="31"/>
        <v>ΑΝΑΤΟΛΙΚΗΣ ΜΑΝΗΣ</v>
      </c>
      <c r="M276" s="65" t="s">
        <v>418</v>
      </c>
      <c r="N276" t="str">
        <f t="shared" si="33"/>
        <v/>
      </c>
      <c r="O27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</v>
      </c>
    </row>
    <row r="277" spans="1:15" x14ac:dyDescent="0.3">
      <c r="A277" s="77">
        <v>276</v>
      </c>
      <c r="B277" t="s">
        <v>411</v>
      </c>
      <c r="C277" t="s">
        <v>392</v>
      </c>
      <c r="D277" t="s">
        <v>312</v>
      </c>
      <c r="E277" t="s">
        <v>815</v>
      </c>
      <c r="F277">
        <v>13994</v>
      </c>
      <c r="G277" t="str">
        <f>LOOKUP(B277,ΠΕΡΙΦΕΡΕΙΑ!$A$2:$A$14,ΠΕΡΙΦΕΡΕΙΑ!$B$2:$B$14)</f>
        <v>Μερική</v>
      </c>
      <c r="H277">
        <f t="shared" si="28"/>
        <v>276</v>
      </c>
      <c r="I277">
        <f t="shared" si="29"/>
        <v>276</v>
      </c>
      <c r="J277" t="str">
        <f t="shared" si="32"/>
        <v>ΑΡΓΟΥΣ – ΜΥΚΗΝΩΝ - ΠΕΛΟΠΟΝΝΗΣΟΥ</v>
      </c>
      <c r="K277" t="str">
        <f t="shared" si="30"/>
        <v>ΠΕΛΟΠΟΝΝΗΣΟΥ</v>
      </c>
      <c r="L277" t="str">
        <f t="shared" si="31"/>
        <v>ΑΡΓΟΥΣ – ΜΥΚΗΝΩΝ</v>
      </c>
      <c r="M277" s="65" t="s">
        <v>417</v>
      </c>
      <c r="N277" t="str">
        <f t="shared" si="33"/>
        <v xml:space="preserve">ΠΕΛΟΠΟΝΝΗΣΟΥ - ΑΡΓΟΥΣ – ΜΥΚΗΝΩΝ, </v>
      </c>
      <c r="O27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</v>
      </c>
    </row>
    <row r="278" spans="1:15" x14ac:dyDescent="0.3">
      <c r="A278" s="77">
        <v>277</v>
      </c>
      <c r="B278" t="s">
        <v>411</v>
      </c>
      <c r="C278" t="s">
        <v>394</v>
      </c>
      <c r="D278" t="s">
        <v>321</v>
      </c>
      <c r="E278" t="s">
        <v>816</v>
      </c>
      <c r="F278">
        <v>14012</v>
      </c>
      <c r="G278" t="str">
        <f>LOOKUP(B278,ΠΕΡΙΦΕΡΕΙΑ!$A$2:$A$14,ΠΕΡΙΦΕΡΕΙΑ!$B$2:$B$14)</f>
        <v>Μερική</v>
      </c>
      <c r="H278">
        <f t="shared" si="28"/>
        <v>277</v>
      </c>
      <c r="I278">
        <f t="shared" si="29"/>
        <v>277</v>
      </c>
      <c r="J278" t="str">
        <f t="shared" si="32"/>
        <v>ΒΕΛΟΥ – ΒΟΧΑΣ - ΠΕΛΟΠΟΝΝΗΣΟΥ</v>
      </c>
      <c r="K278" t="str">
        <f t="shared" si="30"/>
        <v>ΠΕΛΟΠΟΝΝΗΣΟΥ</v>
      </c>
      <c r="L278" t="str">
        <f t="shared" si="31"/>
        <v>ΒΕΛΟΥ – ΒΟΧΑΣ</v>
      </c>
      <c r="M278" s="65" t="s">
        <v>417</v>
      </c>
      <c r="N278" t="str">
        <f t="shared" si="33"/>
        <v xml:space="preserve">ΠΕΛΟΠΟΝΝΗΣΟΥ - ΒΕΛΟΥ – ΒΟΧΑΣ, </v>
      </c>
      <c r="O27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</v>
      </c>
    </row>
    <row r="279" spans="1:15" x14ac:dyDescent="0.3">
      <c r="A279" s="77">
        <v>278</v>
      </c>
      <c r="B279" t="s">
        <v>411</v>
      </c>
      <c r="C279" t="s">
        <v>393</v>
      </c>
      <c r="D279" t="s">
        <v>316</v>
      </c>
      <c r="E279" t="s">
        <v>817</v>
      </c>
      <c r="F279">
        <v>14020</v>
      </c>
      <c r="G279" t="str">
        <f>LOOKUP(B279,ΠΕΡΙΦΕΡΕΙΑ!$A$2:$A$14,ΠΕΡΙΦΕΡΕΙΑ!$B$2:$B$14)</f>
        <v>Μερική</v>
      </c>
      <c r="H279">
        <f t="shared" si="28"/>
        <v>278</v>
      </c>
      <c r="I279">
        <f t="shared" si="29"/>
        <v>278</v>
      </c>
      <c r="J279" t="str">
        <f t="shared" si="32"/>
        <v>ΒΟΡΕΙΑΣ ΚΥΝΟΥΡΙΑΣ - ΠΕΛΟΠΟΝΝΗΣΟΥ</v>
      </c>
      <c r="K279" t="str">
        <f t="shared" si="30"/>
        <v>ΠΕΛΟΠΟΝΝΗΣΟΥ</v>
      </c>
      <c r="L279" t="str">
        <f t="shared" si="31"/>
        <v>ΒΟΡΕΙΑΣ ΚΥΝΟΥΡΙΑΣ</v>
      </c>
      <c r="M279" s="65" t="s">
        <v>417</v>
      </c>
      <c r="N279" t="str">
        <f t="shared" si="33"/>
        <v xml:space="preserve">ΠΕΛΟΠΟΝΝΗΣΟΥ - ΒΟΡΕΙΑΣ ΚΥΝΟΥΡΙΑΣ, </v>
      </c>
      <c r="O27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</v>
      </c>
    </row>
    <row r="280" spans="1:15" x14ac:dyDescent="0.3">
      <c r="A280" s="77">
        <v>279</v>
      </c>
      <c r="B280" t="s">
        <v>411</v>
      </c>
      <c r="C280" t="s">
        <v>393</v>
      </c>
      <c r="D280" t="s">
        <v>317</v>
      </c>
      <c r="E280" t="s">
        <v>818</v>
      </c>
      <c r="F280">
        <v>14046</v>
      </c>
      <c r="G280" t="str">
        <f>LOOKUP(B280,ΠΕΡΙΦΕΡΕΙΑ!$A$2:$A$14,ΠΕΡΙΦΕΡΕΙΑ!$B$2:$B$14)</f>
        <v>Μερική</v>
      </c>
      <c r="H280">
        <f t="shared" si="28"/>
        <v>279</v>
      </c>
      <c r="I280">
        <f t="shared" si="29"/>
        <v>279</v>
      </c>
      <c r="J280" t="str">
        <f t="shared" si="32"/>
        <v>ΓΟΡΤΥΝΙΑΣ - ΠΕΛΟΠΟΝΝΗΣΟΥ</v>
      </c>
      <c r="K280" t="str">
        <f t="shared" si="30"/>
        <v>ΠΕΛΟΠΟΝΝΗΣΟΥ</v>
      </c>
      <c r="L280" t="str">
        <f t="shared" si="31"/>
        <v>ΓΟΡΤΥΝΙΑΣ</v>
      </c>
      <c r="M280" s="65" t="s">
        <v>418</v>
      </c>
      <c r="N280" t="str">
        <f t="shared" si="33"/>
        <v/>
      </c>
      <c r="O28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</v>
      </c>
    </row>
    <row r="281" spans="1:15" x14ac:dyDescent="0.3">
      <c r="A281" s="77">
        <v>280</v>
      </c>
      <c r="B281" t="s">
        <v>411</v>
      </c>
      <c r="C281" t="s">
        <v>396</v>
      </c>
      <c r="D281" t="s">
        <v>332</v>
      </c>
      <c r="E281" t="s">
        <v>819</v>
      </c>
      <c r="F281">
        <v>14074</v>
      </c>
      <c r="G281" t="str">
        <f>LOOKUP(B281,ΠΕΡΙΦΕΡΕΙΑ!$A$2:$A$14,ΠΕΡΙΦΕΡΕΙΑ!$B$2:$B$14)</f>
        <v>Μερική</v>
      </c>
      <c r="H281">
        <f t="shared" si="28"/>
        <v>280</v>
      </c>
      <c r="I281">
        <f t="shared" si="29"/>
        <v>280</v>
      </c>
      <c r="J281" t="str">
        <f t="shared" si="32"/>
        <v>ΔΥΤΙΚΗΣ ΜΑΝΗΣ - ΠΕΛΟΠΟΝΝΗΣΟΥ</v>
      </c>
      <c r="K281" t="str">
        <f t="shared" si="30"/>
        <v>ΠΕΛΟΠΟΝΝΗΣΟΥ</v>
      </c>
      <c r="L281" t="str">
        <f t="shared" si="31"/>
        <v>ΔΥΤΙΚΗΣ ΜΑΝΗΣ</v>
      </c>
      <c r="M281" s="65" t="s">
        <v>417</v>
      </c>
      <c r="N281" t="str">
        <f t="shared" si="33"/>
        <v xml:space="preserve">ΠΕΛΟΠΟΝΝΗΣΟΥ - ΔΥΤΙΚΗΣ ΜΑΝΗΣ, </v>
      </c>
      <c r="O28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2" spans="1:15" x14ac:dyDescent="0.3">
      <c r="A282" s="77">
        <v>281</v>
      </c>
      <c r="B282" t="s">
        <v>411</v>
      </c>
      <c r="C282" t="s">
        <v>395</v>
      </c>
      <c r="D282" t="s">
        <v>328</v>
      </c>
      <c r="E282" t="s">
        <v>820</v>
      </c>
      <c r="F282">
        <v>13912</v>
      </c>
      <c r="G282" t="str">
        <f>LOOKUP(B282,ΠΕΡΙΦΕΡΕΙΑ!$A$2:$A$14,ΠΕΡΙΦΕΡΕΙΑ!$B$2:$B$14)</f>
        <v>Μερική</v>
      </c>
      <c r="H282">
        <f t="shared" si="28"/>
        <v>281</v>
      </c>
      <c r="I282">
        <f t="shared" si="29"/>
        <v>281</v>
      </c>
      <c r="J282" t="str">
        <f t="shared" si="32"/>
        <v>ΕΛΑΦΟΝΗΣΟΥ - ΠΕΛΟΠΟΝΝΗΣΟΥ</v>
      </c>
      <c r="K282" t="str">
        <f t="shared" si="30"/>
        <v>ΠΕΛΟΠΟΝΝΗΣΟΥ</v>
      </c>
      <c r="L282" t="str">
        <f t="shared" si="31"/>
        <v>ΕΛΑΦΟΝΗΣΟΥ</v>
      </c>
      <c r="M282" s="65" t="s">
        <v>418</v>
      </c>
      <c r="N282" t="str">
        <f t="shared" si="33"/>
        <v/>
      </c>
      <c r="O28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3" spans="1:15" x14ac:dyDescent="0.3">
      <c r="A283" s="77">
        <v>282</v>
      </c>
      <c r="B283" t="s">
        <v>411</v>
      </c>
      <c r="C283" t="s">
        <v>392</v>
      </c>
      <c r="D283" t="s">
        <v>313</v>
      </c>
      <c r="E283" t="s">
        <v>821</v>
      </c>
      <c r="F283">
        <v>14092</v>
      </c>
      <c r="G283" t="str">
        <f>LOOKUP(B283,ΠΕΡΙΦΕΡΕΙΑ!$A$2:$A$14,ΠΕΡΙΦΕΡΕΙΑ!$B$2:$B$14)</f>
        <v>Μερική</v>
      </c>
      <c r="H283">
        <f t="shared" si="28"/>
        <v>282</v>
      </c>
      <c r="I283">
        <f t="shared" si="29"/>
        <v>282</v>
      </c>
      <c r="J283" t="str">
        <f t="shared" si="32"/>
        <v>ΕΠΙΔΑΥΡΟΥ - ΠΕΛΟΠΟΝΝΗΣΟΥ</v>
      </c>
      <c r="K283" t="str">
        <f t="shared" si="30"/>
        <v>ΠΕΛΟΠΟΝΝΗΣΟΥ</v>
      </c>
      <c r="L283" t="str">
        <f t="shared" si="31"/>
        <v>ΕΠΙΔΑΥΡΟΥ</v>
      </c>
      <c r="M283" s="65" t="s">
        <v>418</v>
      </c>
      <c r="N283" t="str">
        <f t="shared" si="33"/>
        <v/>
      </c>
      <c r="O28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4" spans="1:15" x14ac:dyDescent="0.3">
      <c r="A284" s="77">
        <v>283</v>
      </c>
      <c r="B284" t="s">
        <v>411</v>
      </c>
      <c r="C284" t="s">
        <v>392</v>
      </c>
      <c r="D284" t="s">
        <v>314</v>
      </c>
      <c r="E284" t="s">
        <v>822</v>
      </c>
      <c r="F284">
        <v>14096</v>
      </c>
      <c r="G284" t="str">
        <f>LOOKUP(B284,ΠΕΡΙΦΕΡΕΙΑ!$A$2:$A$14,ΠΕΡΙΦΕΡΕΙΑ!$B$2:$B$14)</f>
        <v>Μερική</v>
      </c>
      <c r="H284">
        <f t="shared" si="28"/>
        <v>283</v>
      </c>
      <c r="I284">
        <f t="shared" si="29"/>
        <v>283</v>
      </c>
      <c r="J284" t="str">
        <f t="shared" si="32"/>
        <v>ΕΡΜΙΟΝΙΔΑΣ - ΠΕΛΟΠΟΝΝΗΣΟΥ</v>
      </c>
      <c r="K284" t="str">
        <f t="shared" si="30"/>
        <v>ΠΕΛΟΠΟΝΝΗΣΟΥ</v>
      </c>
      <c r="L284" t="str">
        <f t="shared" si="31"/>
        <v>ΕΡΜΙΟΝΙΔΑΣ</v>
      </c>
      <c r="M284" s="65" t="s">
        <v>417</v>
      </c>
      <c r="N284" t="str">
        <f t="shared" si="33"/>
        <v xml:space="preserve">ΠΕΛΟΠΟΝΝΗΣΟΥ - ΕΡΜΙΟΝΙΔΑΣ, </v>
      </c>
      <c r="O28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</v>
      </c>
    </row>
    <row r="285" spans="1:15" x14ac:dyDescent="0.3">
      <c r="A285" s="77">
        <v>284</v>
      </c>
      <c r="B285" t="s">
        <v>411</v>
      </c>
      <c r="C285" t="s">
        <v>395</v>
      </c>
      <c r="D285" t="s">
        <v>329</v>
      </c>
      <c r="E285" t="s">
        <v>823</v>
      </c>
      <c r="F285">
        <v>14100</v>
      </c>
      <c r="G285" t="str">
        <f>LOOKUP(B285,ΠΕΡΙΦΕΡΕΙΑ!$A$2:$A$14,ΠΕΡΙΦΕΡΕΙΑ!$B$2:$B$14)</f>
        <v>Μερική</v>
      </c>
      <c r="H285">
        <f t="shared" si="28"/>
        <v>284</v>
      </c>
      <c r="I285">
        <f t="shared" si="29"/>
        <v>284</v>
      </c>
      <c r="J285" t="str">
        <f t="shared" si="32"/>
        <v>ΕΥΡΩΤΑ - ΠΕΛΟΠΟΝΝΗΣΟΥ</v>
      </c>
      <c r="K285" t="str">
        <f t="shared" si="30"/>
        <v>ΠΕΛΟΠΟΝΝΗΣΟΥ</v>
      </c>
      <c r="L285" t="str">
        <f t="shared" si="31"/>
        <v>ΕΥΡΩΤΑ</v>
      </c>
      <c r="M285" s="65" t="s">
        <v>417</v>
      </c>
      <c r="N285" t="str">
        <f t="shared" si="33"/>
        <v xml:space="preserve">ΠΕΛΟΠΟΝΝΗΣΟΥ - ΕΥΡΩΤΑ, </v>
      </c>
      <c r="O28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</v>
      </c>
    </row>
    <row r="286" spans="1:15" x14ac:dyDescent="0.3">
      <c r="A286" s="77">
        <v>285</v>
      </c>
      <c r="B286" t="s">
        <v>411</v>
      </c>
      <c r="C286" t="s">
        <v>396</v>
      </c>
      <c r="D286" t="s">
        <v>333</v>
      </c>
      <c r="E286" t="s">
        <v>824</v>
      </c>
      <c r="F286">
        <v>14178</v>
      </c>
      <c r="G286" t="str">
        <f>LOOKUP(B286,ΠΕΡΙΦΕΡΕΙΑ!$A$2:$A$14,ΠΕΡΙΦΕΡΕΙΑ!$B$2:$B$14)</f>
        <v>Μερική</v>
      </c>
      <c r="H286">
        <f t="shared" si="28"/>
        <v>285</v>
      </c>
      <c r="I286">
        <f t="shared" si="29"/>
        <v>285</v>
      </c>
      <c r="J286" t="str">
        <f t="shared" si="32"/>
        <v>ΚΑΛΑΜΑΤΑΣ - ΠΕΛΟΠΟΝΝΗΣΟΥ</v>
      </c>
      <c r="K286" t="str">
        <f t="shared" si="30"/>
        <v>ΠΕΛΟΠΟΝΝΗΣΟΥ</v>
      </c>
      <c r="L286" t="str">
        <f t="shared" si="31"/>
        <v>ΚΑΛΑΜΑΤΑΣ</v>
      </c>
      <c r="M286" s="65" t="s">
        <v>417</v>
      </c>
      <c r="N286" t="str">
        <f t="shared" si="33"/>
        <v xml:space="preserve">ΠΕΛΟΠΟΝΝΗΣΟΥ - ΚΑΛΑΜΑΤΑΣ, </v>
      </c>
      <c r="O28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</v>
      </c>
    </row>
    <row r="287" spans="1:15" x14ac:dyDescent="0.3">
      <c r="A287" s="77">
        <v>286</v>
      </c>
      <c r="B287" t="s">
        <v>411</v>
      </c>
      <c r="C287" t="s">
        <v>394</v>
      </c>
      <c r="D287" t="s">
        <v>322</v>
      </c>
      <c r="E287" t="s">
        <v>825</v>
      </c>
      <c r="F287">
        <v>14168</v>
      </c>
      <c r="G287" t="str">
        <f>LOOKUP(B287,ΠΕΡΙΦΕΡΕΙΑ!$A$2:$A$14,ΠΕΡΙΦΕΡΕΙΑ!$B$2:$B$14)</f>
        <v>Μερική</v>
      </c>
      <c r="H287">
        <f t="shared" si="28"/>
        <v>286</v>
      </c>
      <c r="I287">
        <f t="shared" si="29"/>
        <v>286</v>
      </c>
      <c r="J287" t="str">
        <f t="shared" si="32"/>
        <v>ΚΟΡΙΝΘΙΩΝ - ΠΕΛΟΠΟΝΝΗΣΟΥ</v>
      </c>
      <c r="K287" t="str">
        <f t="shared" si="30"/>
        <v>ΠΕΛΟΠΟΝΝΗΣΟΥ</v>
      </c>
      <c r="L287" t="str">
        <f t="shared" si="31"/>
        <v>ΚΟΡΙΝΘΙΩΝ</v>
      </c>
      <c r="M287" s="65" t="s">
        <v>417</v>
      </c>
      <c r="N287" t="str">
        <f t="shared" si="33"/>
        <v xml:space="preserve">ΠΕΛΟΠΟΝΝΗΣΟΥ - ΚΟΡΙΝΘΙΩΝ, </v>
      </c>
      <c r="O28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</v>
      </c>
    </row>
    <row r="288" spans="1:15" x14ac:dyDescent="0.3">
      <c r="A288" s="77">
        <v>287</v>
      </c>
      <c r="B288" t="s">
        <v>411</v>
      </c>
      <c r="C288" t="s">
        <v>394</v>
      </c>
      <c r="D288" t="s">
        <v>323</v>
      </c>
      <c r="E288" t="s">
        <v>826</v>
      </c>
      <c r="F288">
        <v>14244</v>
      </c>
      <c r="G288" t="str">
        <f>LOOKUP(B288,ΠΕΡΙΦΕΡΕΙΑ!$A$2:$A$14,ΠΕΡΙΦΕΡΕΙΑ!$B$2:$B$14)</f>
        <v>Μερική</v>
      </c>
      <c r="H288">
        <f t="shared" si="28"/>
        <v>287</v>
      </c>
      <c r="I288">
        <f t="shared" si="29"/>
        <v>287</v>
      </c>
      <c r="J288" t="str">
        <f t="shared" si="32"/>
        <v>ΛΟΥΤΡΑΚΙΟΥ – ΑΓΙΩΝ ΘΕΟΔΩΡΩΝ - ΠΕΛΟΠΟΝΝΗΣΟΥ</v>
      </c>
      <c r="K288" t="str">
        <f t="shared" si="30"/>
        <v>ΠΕΛΟΠΟΝΝΗΣΟΥ</v>
      </c>
      <c r="L288" t="str">
        <f t="shared" si="31"/>
        <v>ΛΟΥΤΡΑΚΙΟΥ – ΑΓΙΩΝ ΘΕΟΔΩΡΩΝ</v>
      </c>
      <c r="M288" s="65" t="s">
        <v>417</v>
      </c>
      <c r="N288" t="str">
        <f t="shared" si="33"/>
        <v xml:space="preserve">ΠΕΛΟΠΟΝΝΗΣΟΥ - ΛΟΥΤΡΑΚΙΟΥ – ΑΓΙΩΝ ΘΕΟΔΩΡΩΝ, </v>
      </c>
      <c r="O28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</v>
      </c>
    </row>
    <row r="289" spans="1:15" x14ac:dyDescent="0.3">
      <c r="A289" s="77">
        <v>288</v>
      </c>
      <c r="B289" t="s">
        <v>411</v>
      </c>
      <c r="C289" t="s">
        <v>393</v>
      </c>
      <c r="D289" t="s">
        <v>318</v>
      </c>
      <c r="E289" t="s">
        <v>827</v>
      </c>
      <c r="F289">
        <v>14282</v>
      </c>
      <c r="G289" t="str">
        <f>LOOKUP(B289,ΠΕΡΙΦΕΡΕΙΑ!$A$2:$A$14,ΠΕΡΙΦΕΡΕΙΑ!$B$2:$B$14)</f>
        <v>Μερική</v>
      </c>
      <c r="H289">
        <f t="shared" si="28"/>
        <v>288</v>
      </c>
      <c r="I289">
        <f t="shared" si="29"/>
        <v>288</v>
      </c>
      <c r="J289" t="str">
        <f t="shared" si="32"/>
        <v>ΜΕΓΑΛΟΠΟΛΗΣ - ΠΕΛΟΠΟΝΝΗΣΟΥ</v>
      </c>
      <c r="K289" t="str">
        <f t="shared" si="30"/>
        <v>ΠΕΛΟΠΟΝΝΗΣΟΥ</v>
      </c>
      <c r="L289" t="str">
        <f t="shared" si="31"/>
        <v>ΜΕΓΑΛΟΠΟΛΗΣ</v>
      </c>
      <c r="M289" s="65" t="s">
        <v>417</v>
      </c>
      <c r="N289" t="str">
        <f t="shared" si="33"/>
        <v xml:space="preserve">ΠΕΛΟΠΟΝΝΗΣΟΥ - ΜΕΓΑΛΟΠΟΛΗΣ, </v>
      </c>
      <c r="O28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</v>
      </c>
    </row>
    <row r="290" spans="1:15" x14ac:dyDescent="0.3">
      <c r="A290" s="77">
        <v>289</v>
      </c>
      <c r="B290" t="s">
        <v>411</v>
      </c>
      <c r="C290" t="s">
        <v>396</v>
      </c>
      <c r="D290" t="s">
        <v>334</v>
      </c>
      <c r="E290" t="s">
        <v>828</v>
      </c>
      <c r="F290">
        <v>14292</v>
      </c>
      <c r="G290" t="str">
        <f>LOOKUP(B290,ΠΕΡΙΦΕΡΕΙΑ!$A$2:$A$14,ΠΕΡΙΦΕΡΕΙΑ!$B$2:$B$14)</f>
        <v>Μερική</v>
      </c>
      <c r="H290">
        <f t="shared" si="28"/>
        <v>289</v>
      </c>
      <c r="I290">
        <f t="shared" si="29"/>
        <v>289</v>
      </c>
      <c r="J290" t="str">
        <f t="shared" si="32"/>
        <v>ΜΕΣΣΗΝΗΣ - ΠΕΛΟΠΟΝΝΗΣΟΥ</v>
      </c>
      <c r="K290" t="str">
        <f t="shared" si="30"/>
        <v>ΠΕΛΟΠΟΝΝΗΣΟΥ</v>
      </c>
      <c r="L290" t="str">
        <f t="shared" si="31"/>
        <v>ΜΕΣΣΗΝΗΣ</v>
      </c>
      <c r="M290" s="65" t="s">
        <v>417</v>
      </c>
      <c r="N290" t="str">
        <f t="shared" si="33"/>
        <v xml:space="preserve">ΠΕΛΟΠΟΝΝΗΣΟΥ - ΜΕΣΣΗΝΗΣ, </v>
      </c>
      <c r="O29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</v>
      </c>
    </row>
    <row r="291" spans="1:15" x14ac:dyDescent="0.3">
      <c r="A291" s="77">
        <v>290</v>
      </c>
      <c r="B291" t="s">
        <v>411</v>
      </c>
      <c r="C291" t="s">
        <v>395</v>
      </c>
      <c r="D291" t="s">
        <v>330</v>
      </c>
      <c r="E291" t="s">
        <v>829</v>
      </c>
      <c r="F291">
        <v>14268</v>
      </c>
      <c r="G291" t="str">
        <f>LOOKUP(B291,ΠΕΡΙΦΕΡΕΙΑ!$A$2:$A$14,ΠΕΡΙΦΕΡΕΙΑ!$B$2:$B$14)</f>
        <v>Μερική</v>
      </c>
      <c r="H291">
        <f t="shared" si="28"/>
        <v>290</v>
      </c>
      <c r="I291">
        <f t="shared" si="29"/>
        <v>290</v>
      </c>
      <c r="J291" t="str">
        <f t="shared" si="32"/>
        <v>ΜΟΝΕΜΒΑΣΙΑΣ - ΠΕΛΟΠΟΝΝΗΣΟΥ</v>
      </c>
      <c r="K291" t="str">
        <f t="shared" si="30"/>
        <v>ΠΕΛΟΠΟΝΝΗΣΟΥ</v>
      </c>
      <c r="L291" t="str">
        <f t="shared" si="31"/>
        <v>ΜΟΝΕΜΒΑΣΙΑΣ</v>
      </c>
      <c r="M291" s="65" t="s">
        <v>417</v>
      </c>
      <c r="N291" t="str">
        <f t="shared" si="33"/>
        <v xml:space="preserve">ΠΕΛΟΠΟΝΝΗΣΟΥ - ΜΟΝΕΜΒΑΣΙΑΣ, </v>
      </c>
      <c r="O29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</v>
      </c>
    </row>
    <row r="292" spans="1:15" x14ac:dyDescent="0.3">
      <c r="A292" s="77">
        <v>291</v>
      </c>
      <c r="B292" t="s">
        <v>411</v>
      </c>
      <c r="C292" t="s">
        <v>392</v>
      </c>
      <c r="D292" t="s">
        <v>315</v>
      </c>
      <c r="E292" t="s">
        <v>830</v>
      </c>
      <c r="F292">
        <v>14314</v>
      </c>
      <c r="G292" t="str">
        <f>LOOKUP(B292,ΠΕΡΙΦΕΡΕΙΑ!$A$2:$A$14,ΠΕΡΙΦΕΡΕΙΑ!$B$2:$B$14)</f>
        <v>Μερική</v>
      </c>
      <c r="H292">
        <f t="shared" si="28"/>
        <v>291</v>
      </c>
      <c r="I292">
        <f t="shared" si="29"/>
        <v>291</v>
      </c>
      <c r="J292" t="str">
        <f t="shared" si="32"/>
        <v>ΝΑΥΠΛΙΕΩΝ - ΠΕΛΟΠΟΝΝΗΣΟΥ</v>
      </c>
      <c r="K292" t="str">
        <f t="shared" si="30"/>
        <v>ΠΕΛΟΠΟΝΝΗΣΟΥ</v>
      </c>
      <c r="L292" t="str">
        <f t="shared" si="31"/>
        <v>ΝΑΥΠΛΙΕΩΝ</v>
      </c>
      <c r="M292" s="65" t="s">
        <v>417</v>
      </c>
      <c r="N292" t="str">
        <f t="shared" si="33"/>
        <v xml:space="preserve">ΠΕΛΟΠΟΝΝΗΣΟΥ - ΝΑΥΠΛΙΕΩΝ, </v>
      </c>
      <c r="O29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</v>
      </c>
    </row>
    <row r="293" spans="1:15" x14ac:dyDescent="0.3">
      <c r="A293" s="77">
        <v>292</v>
      </c>
      <c r="B293" t="s">
        <v>411</v>
      </c>
      <c r="C293" t="s">
        <v>394</v>
      </c>
      <c r="D293" t="s">
        <v>324</v>
      </c>
      <c r="E293" t="s">
        <v>831</v>
      </c>
      <c r="F293">
        <v>14322</v>
      </c>
      <c r="G293" t="str">
        <f>LOOKUP(B293,ΠΕΡΙΦΕΡΕΙΑ!$A$2:$A$14,ΠΕΡΙΦΕΡΕΙΑ!$B$2:$B$14)</f>
        <v>Μερική</v>
      </c>
      <c r="H293">
        <f t="shared" si="28"/>
        <v>292</v>
      </c>
      <c r="I293">
        <f t="shared" si="29"/>
        <v>292</v>
      </c>
      <c r="J293" t="str">
        <f t="shared" si="32"/>
        <v>ΝΕΜΕΑΣ - ΠΕΛΟΠΟΝΝΗΣΟΥ</v>
      </c>
      <c r="K293" t="str">
        <f t="shared" si="30"/>
        <v>ΠΕΛΟΠΟΝΝΗΣΟΥ</v>
      </c>
      <c r="L293" t="str">
        <f t="shared" si="31"/>
        <v>ΝΕΜΕΑΣ</v>
      </c>
      <c r="M293" s="65" t="s">
        <v>417</v>
      </c>
      <c r="N293" t="str">
        <f t="shared" si="33"/>
        <v xml:space="preserve">ΠΕΛΟΠΟΝΝΗΣΟΥ - ΝΕΜΕΑΣ, </v>
      </c>
      <c r="O29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</v>
      </c>
    </row>
    <row r="294" spans="1:15" x14ac:dyDescent="0.3">
      <c r="A294" s="77">
        <v>293</v>
      </c>
      <c r="B294" t="s">
        <v>411</v>
      </c>
      <c r="C294" t="s">
        <v>393</v>
      </c>
      <c r="D294" t="s">
        <v>319</v>
      </c>
      <c r="E294" t="s">
        <v>832</v>
      </c>
      <c r="F294">
        <v>14340</v>
      </c>
      <c r="G294" t="str">
        <f>LOOKUP(B294,ΠΕΡΙΦΕΡΕΙΑ!$A$2:$A$14,ΠΕΡΙΦΕΡΕΙΑ!$B$2:$B$14)</f>
        <v>Μερική</v>
      </c>
      <c r="H294">
        <f t="shared" si="28"/>
        <v>293</v>
      </c>
      <c r="I294">
        <f t="shared" si="29"/>
        <v>293</v>
      </c>
      <c r="J294" t="str">
        <f t="shared" si="32"/>
        <v>ΝΟΤΙΑΣ ΚΥΝΟΥΡΙΑΣ - ΠΕΛΟΠΟΝΝΗΣΟΥ</v>
      </c>
      <c r="K294" t="str">
        <f t="shared" si="30"/>
        <v>ΠΕΛΟΠΟΝΝΗΣΟΥ</v>
      </c>
      <c r="L294" t="str">
        <f t="shared" si="31"/>
        <v>ΝΟΤΙΑΣ ΚΥΝΟΥΡΙΑΣ</v>
      </c>
      <c r="M294" s="65" t="s">
        <v>418</v>
      </c>
      <c r="N294" t="str">
        <f t="shared" si="33"/>
        <v/>
      </c>
      <c r="O29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</v>
      </c>
    </row>
    <row r="295" spans="1:15" x14ac:dyDescent="0.3">
      <c r="A295" s="77">
        <v>294</v>
      </c>
      <c r="B295" t="s">
        <v>411</v>
      </c>
      <c r="C295" t="s">
        <v>394</v>
      </c>
      <c r="D295" t="s">
        <v>325</v>
      </c>
      <c r="E295" t="s">
        <v>833</v>
      </c>
      <c r="F295">
        <v>14346</v>
      </c>
      <c r="G295" t="str">
        <f>LOOKUP(B295,ΠΕΡΙΦΕΡΕΙΑ!$A$2:$A$14,ΠΕΡΙΦΕΡΕΙΑ!$B$2:$B$14)</f>
        <v>Μερική</v>
      </c>
      <c r="H295">
        <f t="shared" si="28"/>
        <v>294</v>
      </c>
      <c r="I295">
        <f t="shared" si="29"/>
        <v>294</v>
      </c>
      <c r="J295" t="str">
        <f t="shared" si="32"/>
        <v>ΞΥΛΟΚΑΣΤΡΟΥ – ΕΥΡΩΣΤΙΝΗΣ - ΠΕΛΟΠΟΝΝΗΣΟΥ</v>
      </c>
      <c r="K295" t="str">
        <f t="shared" si="30"/>
        <v>ΠΕΛΟΠΟΝΝΗΣΟΥ</v>
      </c>
      <c r="L295" t="str">
        <f t="shared" si="31"/>
        <v>ΞΥΛΟΚΑΣΤΡΟΥ – ΕΥΡΩΣΤΙΝΗΣ</v>
      </c>
      <c r="M295" s="65" t="s">
        <v>417</v>
      </c>
      <c r="N295" t="str">
        <f t="shared" si="33"/>
        <v xml:space="preserve">ΠΕΛΟΠΟΝΝΗΣΟΥ - ΞΥΛΟΚΑΣΤΡΟΥ – ΕΥΡΩΣΤΙΝΗΣ, </v>
      </c>
      <c r="O29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</v>
      </c>
    </row>
    <row r="296" spans="1:15" x14ac:dyDescent="0.3">
      <c r="A296" s="77">
        <v>295</v>
      </c>
      <c r="B296" t="s">
        <v>411</v>
      </c>
      <c r="C296" t="s">
        <v>396</v>
      </c>
      <c r="D296" t="s">
        <v>335</v>
      </c>
      <c r="E296" t="s">
        <v>834</v>
      </c>
      <c r="F296">
        <v>14350</v>
      </c>
      <c r="G296" t="str">
        <f>LOOKUP(B296,ΠΕΡΙΦΕΡΕΙΑ!$A$2:$A$14,ΠΕΡΙΦΕΡΕΙΑ!$B$2:$B$14)</f>
        <v>Μερική</v>
      </c>
      <c r="H296">
        <f t="shared" si="28"/>
        <v>295</v>
      </c>
      <c r="I296">
        <f t="shared" si="29"/>
        <v>295</v>
      </c>
      <c r="J296" t="str">
        <f t="shared" si="32"/>
        <v>ΟΙΧΑΛΙΑΣ - ΠΕΛΟΠΟΝΝΗΣΟΥ</v>
      </c>
      <c r="K296" t="str">
        <f t="shared" si="30"/>
        <v>ΠΕΛΟΠΟΝΝΗΣΟΥ</v>
      </c>
      <c r="L296" t="str">
        <f t="shared" si="31"/>
        <v>ΟΙΧΑΛΙΑΣ</v>
      </c>
      <c r="M296" s="65" t="s">
        <v>418</v>
      </c>
      <c r="N296" t="str">
        <f t="shared" si="33"/>
        <v/>
      </c>
      <c r="O29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</v>
      </c>
    </row>
    <row r="297" spans="1:15" x14ac:dyDescent="0.3">
      <c r="A297" s="77">
        <v>296</v>
      </c>
      <c r="B297" t="s">
        <v>411</v>
      </c>
      <c r="C297" t="s">
        <v>396</v>
      </c>
      <c r="D297" t="s">
        <v>336</v>
      </c>
      <c r="E297" t="s">
        <v>835</v>
      </c>
      <c r="F297">
        <v>14426</v>
      </c>
      <c r="G297" t="str">
        <f>LOOKUP(B297,ΠΕΡΙΦΕΡΕΙΑ!$A$2:$A$14,ΠΕΡΙΦΕΡΕΙΑ!$B$2:$B$14)</f>
        <v>Μερική</v>
      </c>
      <c r="H297">
        <f t="shared" si="28"/>
        <v>296</v>
      </c>
      <c r="I297">
        <f t="shared" si="29"/>
        <v>296</v>
      </c>
      <c r="J297" t="str">
        <f t="shared" si="32"/>
        <v>ΠΥΛΟΥ – ΝΕΣΤΟΡΟΣ - ΠΕΛΟΠΟΝΝΗΣΟΥ</v>
      </c>
      <c r="K297" t="str">
        <f t="shared" si="30"/>
        <v>ΠΕΛΟΠΟΝΝΗΣΟΥ</v>
      </c>
      <c r="L297" t="str">
        <f t="shared" si="31"/>
        <v>ΠΥΛΟΥ – ΝΕΣΤΟΡΟΣ</v>
      </c>
      <c r="M297" s="65" t="s">
        <v>417</v>
      </c>
      <c r="N297" t="str">
        <f t="shared" si="33"/>
        <v xml:space="preserve">ΠΕΛΟΠΟΝΝΗΣΟΥ - ΠΥΛΟΥ – ΝΕΣΤΟΡΟΣ, </v>
      </c>
      <c r="O29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</v>
      </c>
    </row>
    <row r="298" spans="1:15" x14ac:dyDescent="0.3">
      <c r="A298" s="77">
        <v>297</v>
      </c>
      <c r="B298" t="s">
        <v>411</v>
      </c>
      <c r="C298" t="s">
        <v>394</v>
      </c>
      <c r="D298" t="s">
        <v>326</v>
      </c>
      <c r="E298" t="s">
        <v>836</v>
      </c>
      <c r="F298">
        <v>14460</v>
      </c>
      <c r="G298" t="str">
        <f>LOOKUP(B298,ΠΕΡΙΦΕΡΕΙΑ!$A$2:$A$14,ΠΕΡΙΦΕΡΕΙΑ!$B$2:$B$14)</f>
        <v>Μερική</v>
      </c>
      <c r="H298">
        <f t="shared" si="28"/>
        <v>297</v>
      </c>
      <c r="I298">
        <f t="shared" si="29"/>
        <v>297</v>
      </c>
      <c r="J298" t="str">
        <f t="shared" si="32"/>
        <v>ΣΙΚΥΩΝΙΩΝ - ΠΕΛΟΠΟΝΝΗΣΟΥ</v>
      </c>
      <c r="K298" t="str">
        <f t="shared" si="30"/>
        <v>ΠΕΛΟΠΟΝΝΗΣΟΥ</v>
      </c>
      <c r="L298" t="str">
        <f t="shared" si="31"/>
        <v>ΣΙΚΥΩΝΙΩΝ</v>
      </c>
      <c r="M298" s="65" t="s">
        <v>417</v>
      </c>
      <c r="N298" t="str">
        <f t="shared" si="33"/>
        <v xml:space="preserve">ΠΕΛΟΠΟΝΝΗΣΟΥ - ΣΙΚΥΩΝΙΩΝ, </v>
      </c>
      <c r="O29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</v>
      </c>
    </row>
    <row r="299" spans="1:15" x14ac:dyDescent="0.3">
      <c r="A299" s="77">
        <v>298</v>
      </c>
      <c r="B299" t="s">
        <v>411</v>
      </c>
      <c r="C299" t="s">
        <v>395</v>
      </c>
      <c r="D299" t="s">
        <v>331</v>
      </c>
      <c r="E299" t="s">
        <v>837</v>
      </c>
      <c r="F299">
        <v>14478</v>
      </c>
      <c r="G299" t="str">
        <f>LOOKUP(B299,ΠΕΡΙΦΕΡΕΙΑ!$A$2:$A$14,ΠΕΡΙΦΕΡΕΙΑ!$B$2:$B$14)</f>
        <v>Μερική</v>
      </c>
      <c r="H299">
        <f t="shared" si="28"/>
        <v>298</v>
      </c>
      <c r="I299">
        <f t="shared" si="29"/>
        <v>298</v>
      </c>
      <c r="J299" t="str">
        <f t="shared" si="32"/>
        <v>ΣΠΑΡΤΗΣ - ΠΕΛΟΠΟΝΝΗΣΟΥ</v>
      </c>
      <c r="K299" t="str">
        <f t="shared" si="30"/>
        <v>ΠΕΛΟΠΟΝΝΗΣΟΥ</v>
      </c>
      <c r="L299" t="str">
        <f t="shared" si="31"/>
        <v>ΣΠΑΡΤΗΣ</v>
      </c>
      <c r="M299" s="65" t="s">
        <v>417</v>
      </c>
      <c r="N299" t="str">
        <f t="shared" si="33"/>
        <v xml:space="preserve">ΠΕΛΟΠΟΝΝΗΣΟΥ - ΣΠΑΡΤΗΣ, </v>
      </c>
      <c r="O29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</v>
      </c>
    </row>
    <row r="300" spans="1:15" x14ac:dyDescent="0.3">
      <c r="A300" s="77">
        <v>299</v>
      </c>
      <c r="B300" t="s">
        <v>411</v>
      </c>
      <c r="C300" t="s">
        <v>393</v>
      </c>
      <c r="D300" t="s">
        <v>320</v>
      </c>
      <c r="E300" t="s">
        <v>838</v>
      </c>
      <c r="F300">
        <v>14500</v>
      </c>
      <c r="G300" t="str">
        <f>LOOKUP(B300,ΠΕΡΙΦΕΡΕΙΑ!$A$2:$A$14,ΠΕΡΙΦΕΡΕΙΑ!$B$2:$B$14)</f>
        <v>Μερική</v>
      </c>
      <c r="H300">
        <f t="shared" si="28"/>
        <v>299</v>
      </c>
      <c r="I300">
        <f t="shared" si="29"/>
        <v>299</v>
      </c>
      <c r="J300" t="str">
        <f t="shared" si="32"/>
        <v>ΤΡΙΠΟΛΗΣ - ΠΕΛΟΠΟΝΝΗΣΟΥ</v>
      </c>
      <c r="K300" t="str">
        <f t="shared" si="30"/>
        <v>ΠΕΛΟΠΟΝΝΗΣΟΥ</v>
      </c>
      <c r="L300" t="str">
        <f t="shared" si="31"/>
        <v>ΤΡΙΠΟΛΗΣ</v>
      </c>
      <c r="M300" s="65" t="s">
        <v>417</v>
      </c>
      <c r="N300" t="str">
        <f t="shared" si="33"/>
        <v xml:space="preserve">ΠΕΛΟΠΟΝΝΗΣΟΥ - ΤΡΙΠΟΛΗΣ, </v>
      </c>
      <c r="O30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</v>
      </c>
    </row>
    <row r="301" spans="1:15" x14ac:dyDescent="0.3">
      <c r="A301" s="77">
        <v>300</v>
      </c>
      <c r="B301" t="s">
        <v>411</v>
      </c>
      <c r="C301" t="s">
        <v>396</v>
      </c>
      <c r="D301" t="s">
        <v>337</v>
      </c>
      <c r="E301" t="s">
        <v>839</v>
      </c>
      <c r="F301">
        <v>14504</v>
      </c>
      <c r="G301" t="str">
        <f>LOOKUP(B301,ΠΕΡΙΦΕΡΕΙΑ!$A$2:$A$14,ΠΕΡΙΦΕΡΕΙΑ!$B$2:$B$14)</f>
        <v>Μερική</v>
      </c>
      <c r="H301">
        <f t="shared" si="28"/>
        <v>300</v>
      </c>
      <c r="I301">
        <f t="shared" si="29"/>
        <v>300</v>
      </c>
      <c r="J301" t="str">
        <f t="shared" si="32"/>
        <v>ΤΡΙΦΥΛΙΑΣ - ΠΕΛΟΠΟΝΝΗΣΟΥ</v>
      </c>
      <c r="K301" t="str">
        <f t="shared" si="30"/>
        <v>ΠΕΛΟΠΟΝΝΗΣΟΥ</v>
      </c>
      <c r="L301" t="str">
        <f t="shared" si="31"/>
        <v>ΤΡΙΦΥΛΙΑΣ</v>
      </c>
      <c r="M301" s="65" t="s">
        <v>417</v>
      </c>
      <c r="N301" t="str">
        <f t="shared" si="33"/>
        <v xml:space="preserve">ΠΕΛΟΠΟΝΝΗΣΟΥ - ΤΡΙΦΥΛΙΑΣ, </v>
      </c>
      <c r="O30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</v>
      </c>
    </row>
    <row r="302" spans="1:15" x14ac:dyDescent="0.3">
      <c r="A302" s="77">
        <v>301</v>
      </c>
      <c r="B302" t="s">
        <v>412</v>
      </c>
      <c r="C302" t="s">
        <v>399</v>
      </c>
      <c r="D302" t="s">
        <v>352</v>
      </c>
      <c r="E302" t="s">
        <v>840</v>
      </c>
      <c r="F302">
        <v>13940</v>
      </c>
      <c r="G302" t="str">
        <f>LOOKUP(B302,ΠΕΡΙΦΕΡΕΙΑ!$A$2:$A$14,ΠΕΡΙΦΕΡΕΙΑ!$B$2:$B$14)</f>
        <v>Μερική</v>
      </c>
      <c r="H302">
        <f t="shared" si="28"/>
        <v>301</v>
      </c>
      <c r="I302">
        <f t="shared" si="29"/>
        <v>301</v>
      </c>
      <c r="J302" t="str">
        <f t="shared" si="32"/>
        <v>ΑΓΡΑΦΩΝ - ΣΤΕΡΕΑΣ ΕΛΛΑΔΑΣ</v>
      </c>
      <c r="K302" t="str">
        <f t="shared" si="30"/>
        <v>ΣΤΕΡΕΑΣ ΕΛΛΑΔΑΣ</v>
      </c>
      <c r="L302" t="str">
        <f t="shared" si="31"/>
        <v>ΑΓΡΑΦΩΝ</v>
      </c>
      <c r="M302" s="65" t="s">
        <v>418</v>
      </c>
      <c r="N302" t="str">
        <f t="shared" si="33"/>
        <v/>
      </c>
      <c r="O30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</v>
      </c>
    </row>
    <row r="303" spans="1:15" x14ac:dyDescent="0.3">
      <c r="A303" s="77">
        <v>302</v>
      </c>
      <c r="B303" t="s">
        <v>412</v>
      </c>
      <c r="C303" t="s">
        <v>397</v>
      </c>
      <c r="D303" t="s">
        <v>338</v>
      </c>
      <c r="E303" t="s">
        <v>841</v>
      </c>
      <c r="F303">
        <v>13954</v>
      </c>
      <c r="G303" t="str">
        <f>LOOKUP(B303,ΠΕΡΙΦΕΡΕΙΑ!$A$2:$A$14,ΠΕΡΙΦΕΡΕΙΑ!$B$2:$B$14)</f>
        <v>Μερική</v>
      </c>
      <c r="H303">
        <f t="shared" si="28"/>
        <v>302</v>
      </c>
      <c r="I303">
        <f t="shared" si="29"/>
        <v>302</v>
      </c>
      <c r="J303" t="str">
        <f t="shared" si="32"/>
        <v>ΑΛΙΑΡΤΟΥ - ΣΤΕΡΕΑΣ ΕΛΛΑΔΑΣ</v>
      </c>
      <c r="K303" t="str">
        <f t="shared" si="30"/>
        <v>ΣΤΕΡΕΑΣ ΕΛΛΑΔΑΣ</v>
      </c>
      <c r="L303" t="str">
        <f t="shared" si="31"/>
        <v>ΑΛΙΑΡΤΟΥ</v>
      </c>
      <c r="M303" s="65" t="s">
        <v>417</v>
      </c>
      <c r="N303" t="str">
        <f t="shared" si="33"/>
        <v xml:space="preserve">ΣΤΕΡΕΑΣ ΕΛΛΑΔΑΣ - ΑΛΙΑΡΤΟΥ, </v>
      </c>
      <c r="O30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</v>
      </c>
    </row>
    <row r="304" spans="1:15" x14ac:dyDescent="0.3">
      <c r="A304" s="77">
        <v>303</v>
      </c>
      <c r="B304" t="s">
        <v>412</v>
      </c>
      <c r="C304" t="s">
        <v>400</v>
      </c>
      <c r="D304" t="s">
        <v>354</v>
      </c>
      <c r="E304" t="s">
        <v>842</v>
      </c>
      <c r="F304">
        <v>13972</v>
      </c>
      <c r="G304" t="str">
        <f>LOOKUP(B304,ΠΕΡΙΦΕΡΕΙΑ!$A$2:$A$14,ΠΕΡΙΦΕΡΕΙΑ!$B$2:$B$14)</f>
        <v>Μερική</v>
      </c>
      <c r="H304">
        <f t="shared" si="28"/>
        <v>303</v>
      </c>
      <c r="I304">
        <f t="shared" si="29"/>
        <v>303</v>
      </c>
      <c r="J304" t="str">
        <f t="shared" si="32"/>
        <v>ΑΜΦΙΚΛΕΙΑΣ – ΕΛΑΤΕΙΑΣ - ΣΤΕΡΕΑΣ ΕΛΛΑΔΑΣ</v>
      </c>
      <c r="K304" t="str">
        <f t="shared" si="30"/>
        <v>ΣΤΕΡΕΑΣ ΕΛΛΑΔΑΣ</v>
      </c>
      <c r="L304" t="str">
        <f t="shared" si="31"/>
        <v>ΑΜΦΙΚΛΕΙΑΣ – ΕΛΑΤΕΙΑΣ</v>
      </c>
      <c r="M304" s="65" t="s">
        <v>417</v>
      </c>
      <c r="N304" t="str">
        <f t="shared" si="33"/>
        <v xml:space="preserve">ΣΤΕΡΕΑΣ ΕΛΛΑΔΑΣ - ΑΜΦΙΚΛΕΙΑΣ – ΕΛΑΤΕΙΑΣ, </v>
      </c>
      <c r="O30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</v>
      </c>
    </row>
    <row r="305" spans="1:15" x14ac:dyDescent="0.3">
      <c r="A305" s="77">
        <v>304</v>
      </c>
      <c r="B305" t="s">
        <v>412</v>
      </c>
      <c r="C305" t="s">
        <v>401</v>
      </c>
      <c r="D305" t="s">
        <v>361</v>
      </c>
      <c r="E305" t="s">
        <v>843</v>
      </c>
      <c r="F305">
        <v>14052</v>
      </c>
      <c r="G305" t="str">
        <f>LOOKUP(B305,ΠΕΡΙΦΕΡΕΙΑ!$A$2:$A$14,ΠΕΡΙΦΕΡΕΙΑ!$B$2:$B$14)</f>
        <v>Μερική</v>
      </c>
      <c r="H305">
        <f t="shared" si="28"/>
        <v>304</v>
      </c>
      <c r="I305">
        <f t="shared" si="29"/>
        <v>304</v>
      </c>
      <c r="J305" t="str">
        <f t="shared" si="32"/>
        <v>ΔΕΛΦΩΝ - ΣΤΕΡΕΑΣ ΕΛΛΑΔΑΣ</v>
      </c>
      <c r="K305" t="str">
        <f t="shared" si="30"/>
        <v>ΣΤΕΡΕΑΣ ΕΛΛΑΔΑΣ</v>
      </c>
      <c r="L305" t="str">
        <f t="shared" si="31"/>
        <v>ΔΕΛΦΩΝ</v>
      </c>
      <c r="M305" s="65" t="s">
        <v>417</v>
      </c>
      <c r="N305" t="str">
        <f t="shared" si="33"/>
        <v xml:space="preserve">ΣΤΕΡΕΑΣ ΕΛΛΑΔΑΣ - ΔΕΛΦΩΝ, </v>
      </c>
      <c r="O30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</v>
      </c>
    </row>
    <row r="306" spans="1:15" x14ac:dyDescent="0.3">
      <c r="A306" s="77">
        <v>305</v>
      </c>
      <c r="B306" t="s">
        <v>412</v>
      </c>
      <c r="C306" t="s">
        <v>398</v>
      </c>
      <c r="D306" t="s">
        <v>344</v>
      </c>
      <c r="E306" t="s">
        <v>844</v>
      </c>
      <c r="F306">
        <v>14064</v>
      </c>
      <c r="G306" t="str">
        <f>LOOKUP(B306,ΠΕΡΙΦΕΡΕΙΑ!$A$2:$A$14,ΠΕΡΙΦΕΡΕΙΑ!$B$2:$B$14)</f>
        <v>Μερική</v>
      </c>
      <c r="H306">
        <f t="shared" si="28"/>
        <v>305</v>
      </c>
      <c r="I306">
        <f t="shared" si="29"/>
        <v>305</v>
      </c>
      <c r="J306" t="str">
        <f t="shared" si="32"/>
        <v>ΔΙΡΦΥΩΝ – ΜΕΣΣΑΠΙΩΝ - ΣΤΕΡΕΑΣ ΕΛΛΑΔΑΣ</v>
      </c>
      <c r="K306" t="str">
        <f t="shared" si="30"/>
        <v>ΣΤΕΡΕΑΣ ΕΛΛΑΔΑΣ</v>
      </c>
      <c r="L306" t="str">
        <f t="shared" si="31"/>
        <v>ΔΙΡΦΥΩΝ – ΜΕΣΣΑΠΙΩΝ</v>
      </c>
      <c r="M306" s="65" t="s">
        <v>417</v>
      </c>
      <c r="N306" t="str">
        <f t="shared" si="33"/>
        <v xml:space="preserve">ΣΤΕΡΕΑΣ ΕΛΛΑΔΑΣ - ΔΙΡΦΥΩΝ – ΜΕΣΣΑΠΙΩΝ, </v>
      </c>
      <c r="O30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</v>
      </c>
    </row>
    <row r="307" spans="1:15" x14ac:dyDescent="0.3">
      <c r="A307" s="77">
        <v>306</v>
      </c>
      <c r="B307" t="s">
        <v>412</v>
      </c>
      <c r="C307" t="s">
        <v>397</v>
      </c>
      <c r="D307" t="s">
        <v>339</v>
      </c>
      <c r="E307" t="s">
        <v>845</v>
      </c>
      <c r="F307">
        <v>14056</v>
      </c>
      <c r="G307" t="str">
        <f>LOOKUP(B307,ΠΕΡΙΦΕΡΕΙΑ!$A$2:$A$14,ΠΕΡΙΦΕΡΕΙΑ!$B$2:$B$14)</f>
        <v>Μερική</v>
      </c>
      <c r="H307">
        <f t="shared" si="28"/>
        <v>306</v>
      </c>
      <c r="I307">
        <f t="shared" si="29"/>
        <v>306</v>
      </c>
      <c r="J307" t="str">
        <f t="shared" si="32"/>
        <v>ΔΙΣΤΟΜΟΥ – ΑΡΑΧΟΒΑΣ – ΑΝΤΙΚΥΡΑΣ - ΣΤΕΡΕΑΣ ΕΛΛΑΔΑΣ</v>
      </c>
      <c r="K307" t="str">
        <f t="shared" si="30"/>
        <v>ΣΤΕΡΕΑΣ ΕΛΛΑΔΑΣ</v>
      </c>
      <c r="L307" t="str">
        <f t="shared" si="31"/>
        <v>ΔΙΣΤΟΜΟΥ – ΑΡΑΧΟΒΑΣ – ΑΝΤΙΚΥΡΑΣ</v>
      </c>
      <c r="M307" s="65" t="s">
        <v>417</v>
      </c>
      <c r="N307" t="str">
        <f t="shared" si="33"/>
        <v xml:space="preserve">ΣΤΕΡΕΑΣ ΕΛΛΑΔΑΣ - ΔΙΣΤΟΜΟΥ – ΑΡΑΧΟΒΑΣ – ΑΝΤΙΚΥΡΑΣ, </v>
      </c>
      <c r="O30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</v>
      </c>
    </row>
    <row r="308" spans="1:15" x14ac:dyDescent="0.3">
      <c r="A308" s="77">
        <v>307</v>
      </c>
      <c r="B308" t="s">
        <v>412</v>
      </c>
      <c r="C308" t="s">
        <v>400</v>
      </c>
      <c r="D308" t="s">
        <v>355</v>
      </c>
      <c r="E308" t="s">
        <v>846</v>
      </c>
      <c r="F308">
        <v>14066</v>
      </c>
      <c r="G308" t="str">
        <f>LOOKUP(B308,ΠΕΡΙΦΕΡΕΙΑ!$A$2:$A$14,ΠΕΡΙΦΕΡΕΙΑ!$B$2:$B$14)</f>
        <v>Μερική</v>
      </c>
      <c r="H308">
        <f t="shared" si="28"/>
        <v>307</v>
      </c>
      <c r="I308">
        <f t="shared" si="29"/>
        <v>307</v>
      </c>
      <c r="J308" t="str">
        <f t="shared" si="32"/>
        <v>ΔΟΜΟΚΟΥ - ΣΤΕΡΕΑΣ ΕΛΛΑΔΑΣ</v>
      </c>
      <c r="K308" t="str">
        <f t="shared" si="30"/>
        <v>ΣΤΕΡΕΑΣ ΕΛΛΑΔΑΣ</v>
      </c>
      <c r="L308" t="str">
        <f t="shared" si="31"/>
        <v>ΔΟΜΟΚΟΥ</v>
      </c>
      <c r="M308" s="65" t="s">
        <v>417</v>
      </c>
      <c r="N308" t="str">
        <f t="shared" si="33"/>
        <v xml:space="preserve">ΣΤΕΡΕΑΣ ΕΛΛΑΔΑΣ - ΔΟΜΟΚΟΥ, </v>
      </c>
      <c r="O30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</v>
      </c>
    </row>
    <row r="309" spans="1:15" x14ac:dyDescent="0.3">
      <c r="A309" s="77">
        <v>308</v>
      </c>
      <c r="B309" t="s">
        <v>412</v>
      </c>
      <c r="C309" t="s">
        <v>401</v>
      </c>
      <c r="D309" t="s">
        <v>362</v>
      </c>
      <c r="E309" t="s">
        <v>847</v>
      </c>
      <c r="F309">
        <v>14078</v>
      </c>
      <c r="G309" t="str">
        <f>LOOKUP(B309,ΠΕΡΙΦΕΡΕΙΑ!$A$2:$A$14,ΠΕΡΙΦΕΡΕΙΑ!$B$2:$B$14)</f>
        <v>Μερική</v>
      </c>
      <c r="H309">
        <f t="shared" si="28"/>
        <v>308</v>
      </c>
      <c r="I309">
        <f t="shared" si="29"/>
        <v>308</v>
      </c>
      <c r="J309" t="str">
        <f t="shared" si="32"/>
        <v>ΔΩΡΙΔΟΣ - ΣΤΕΡΕΑΣ ΕΛΛΑΔΑΣ</v>
      </c>
      <c r="K309" t="str">
        <f t="shared" si="30"/>
        <v>ΣΤΕΡΕΑΣ ΕΛΛΑΔΑΣ</v>
      </c>
      <c r="L309" t="str">
        <f t="shared" si="31"/>
        <v>ΔΩΡΙΔΟΣ</v>
      </c>
      <c r="M309" s="65" t="s">
        <v>417</v>
      </c>
      <c r="N309" t="str">
        <f t="shared" si="33"/>
        <v xml:space="preserve">ΣΤΕΡΕΑΣ ΕΛΛΑΔΑΣ - ΔΩΡΙΔΟΣ, </v>
      </c>
      <c r="O30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</v>
      </c>
    </row>
    <row r="310" spans="1:15" x14ac:dyDescent="0.3">
      <c r="A310" s="77">
        <v>309</v>
      </c>
      <c r="B310" t="s">
        <v>412</v>
      </c>
      <c r="C310" t="s">
        <v>398</v>
      </c>
      <c r="D310" t="s">
        <v>345</v>
      </c>
      <c r="E310" t="s">
        <v>848</v>
      </c>
      <c r="F310">
        <v>14094</v>
      </c>
      <c r="G310" t="str">
        <f>LOOKUP(B310,ΠΕΡΙΦΕΡΕΙΑ!$A$2:$A$14,ΠΕΡΙΦΕΡΕΙΑ!$B$2:$B$14)</f>
        <v>Μερική</v>
      </c>
      <c r="H310">
        <f t="shared" si="28"/>
        <v>309</v>
      </c>
      <c r="I310">
        <f t="shared" si="29"/>
        <v>309</v>
      </c>
      <c r="J310" t="str">
        <f t="shared" si="32"/>
        <v>ΕΡΕΤΡΙΑΣ - ΣΤΕΡΕΑΣ ΕΛΛΑΔΑΣ</v>
      </c>
      <c r="K310" t="str">
        <f t="shared" si="30"/>
        <v>ΣΤΕΡΕΑΣ ΕΛΛΑΔΑΣ</v>
      </c>
      <c r="L310" t="str">
        <f t="shared" si="31"/>
        <v>ΕΡΕΤΡΙΑΣ</v>
      </c>
      <c r="M310" s="65" t="s">
        <v>417</v>
      </c>
      <c r="N310" t="str">
        <f t="shared" si="33"/>
        <v xml:space="preserve">ΣΤΕΡΕΑΣ ΕΛΛΑΔΑΣ - ΕΡΕΤΡΙΑΣ, </v>
      </c>
      <c r="O31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</v>
      </c>
    </row>
    <row r="311" spans="1:15" x14ac:dyDescent="0.3">
      <c r="A311" s="77">
        <v>310</v>
      </c>
      <c r="B311" t="s">
        <v>412</v>
      </c>
      <c r="C311" t="s">
        <v>397</v>
      </c>
      <c r="D311" t="s">
        <v>340</v>
      </c>
      <c r="E311" t="s">
        <v>849</v>
      </c>
      <c r="F311">
        <v>14132</v>
      </c>
      <c r="G311" t="str">
        <f>LOOKUP(B311,ΠΕΡΙΦΕΡΕΙΑ!$A$2:$A$14,ΠΕΡΙΦΕΡΕΙΑ!$B$2:$B$14)</f>
        <v>Μερική</v>
      </c>
      <c r="H311">
        <f t="shared" si="28"/>
        <v>310</v>
      </c>
      <c r="I311">
        <f t="shared" si="29"/>
        <v>310</v>
      </c>
      <c r="J311" t="str">
        <f t="shared" si="32"/>
        <v>ΘΗΒΑΙΩΝ - ΣΤΕΡΕΑΣ ΕΛΛΑΔΑΣ</v>
      </c>
      <c r="K311" t="str">
        <f t="shared" si="30"/>
        <v>ΣΤΕΡΕΑΣ ΕΛΛΑΔΑΣ</v>
      </c>
      <c r="L311" t="str">
        <f t="shared" si="31"/>
        <v>ΘΗΒΑΙΩΝ</v>
      </c>
      <c r="M311" s="65" t="s">
        <v>417</v>
      </c>
      <c r="N311" t="str">
        <f t="shared" si="33"/>
        <v xml:space="preserve">ΣΤΕΡΕΑΣ ΕΛΛΑΔΑΣ - ΘΗΒΑΙΩΝ, </v>
      </c>
      <c r="O31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</v>
      </c>
    </row>
    <row r="312" spans="1:15" x14ac:dyDescent="0.3">
      <c r="A312" s="77">
        <v>311</v>
      </c>
      <c r="B312" t="s">
        <v>412</v>
      </c>
      <c r="C312" t="s">
        <v>398</v>
      </c>
      <c r="D312" t="s">
        <v>346</v>
      </c>
      <c r="E312" t="s">
        <v>850</v>
      </c>
      <c r="F312">
        <v>14152</v>
      </c>
      <c r="G312" t="str">
        <f>LOOKUP(B312,ΠΕΡΙΦΕΡΕΙΑ!$A$2:$A$14,ΠΕΡΙΦΕΡΕΙΑ!$B$2:$B$14)</f>
        <v>Μερική</v>
      </c>
      <c r="H312">
        <f t="shared" si="28"/>
        <v>311</v>
      </c>
      <c r="I312">
        <f t="shared" si="29"/>
        <v>311</v>
      </c>
      <c r="J312" t="str">
        <f t="shared" si="32"/>
        <v>ΙΣΤΙΑΙΑΣ – ΑΙΔΗΨΟΥ - ΣΤΕΡΕΑΣ ΕΛΛΑΔΑΣ</v>
      </c>
      <c r="K312" t="str">
        <f t="shared" si="30"/>
        <v>ΣΤΕΡΕΑΣ ΕΛΛΑΔΑΣ</v>
      </c>
      <c r="L312" t="str">
        <f t="shared" si="31"/>
        <v>ΙΣΤΙΑΙΑΣ – ΑΙΔΗΨΟΥ</v>
      </c>
      <c r="M312" s="65" t="s">
        <v>417</v>
      </c>
      <c r="N312" t="str">
        <f t="shared" si="33"/>
        <v xml:space="preserve">ΣΤΕΡΕΑΣ ΕΛΛΑΔΑΣ - ΙΣΤΙΑΙΑΣ – ΑΙΔΗΨΟΥ, </v>
      </c>
      <c r="O31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</v>
      </c>
    </row>
    <row r="313" spans="1:15" x14ac:dyDescent="0.3">
      <c r="A313" s="77">
        <v>312</v>
      </c>
      <c r="B313" t="s">
        <v>412</v>
      </c>
      <c r="C313" t="s">
        <v>399</v>
      </c>
      <c r="D313" t="s">
        <v>353</v>
      </c>
      <c r="E313" t="s">
        <v>851</v>
      </c>
      <c r="F313">
        <v>14194</v>
      </c>
      <c r="G313" t="str">
        <f>LOOKUP(B313,ΠΕΡΙΦΕΡΕΙΑ!$A$2:$A$14,ΠΕΡΙΦΕΡΕΙΑ!$B$2:$B$14)</f>
        <v>Μερική</v>
      </c>
      <c r="H313">
        <f t="shared" si="28"/>
        <v>312</v>
      </c>
      <c r="I313">
        <f t="shared" si="29"/>
        <v>312</v>
      </c>
      <c r="J313" t="str">
        <f t="shared" si="32"/>
        <v>ΚΑΡΠΕΝΗΣΙΟΥ - ΣΤΕΡΕΑΣ ΕΛΛΑΔΑΣ</v>
      </c>
      <c r="K313" t="str">
        <f t="shared" si="30"/>
        <v>ΣΤΕΡΕΑΣ ΕΛΛΑΔΑΣ</v>
      </c>
      <c r="L313" t="str">
        <f t="shared" si="31"/>
        <v>ΚΑΡΠΕΝΗΣΙΟΥ</v>
      </c>
      <c r="M313" s="65" t="s">
        <v>417</v>
      </c>
      <c r="N313" t="str">
        <f t="shared" si="33"/>
        <v xml:space="preserve">ΣΤΕΡΕΑΣ ΕΛΛΑΔΑΣ - ΚΑΡΠΕΝΗΣΙΟΥ, </v>
      </c>
      <c r="O31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</v>
      </c>
    </row>
    <row r="314" spans="1:15" x14ac:dyDescent="0.3">
      <c r="A314" s="77">
        <v>313</v>
      </c>
      <c r="B314" t="s">
        <v>412</v>
      </c>
      <c r="C314" t="s">
        <v>398</v>
      </c>
      <c r="D314" t="s">
        <v>347</v>
      </c>
      <c r="E314" t="s">
        <v>852</v>
      </c>
      <c r="F314">
        <v>14196</v>
      </c>
      <c r="G314" t="str">
        <f>LOOKUP(B314,ΠΕΡΙΦΕΡΕΙΑ!$A$2:$A$14,ΠΕΡΙΦΕΡΕΙΑ!$B$2:$B$14)</f>
        <v>Μερική</v>
      </c>
      <c r="H314">
        <f t="shared" si="28"/>
        <v>313</v>
      </c>
      <c r="I314">
        <f t="shared" si="29"/>
        <v>313</v>
      </c>
      <c r="J314" t="str">
        <f t="shared" si="32"/>
        <v>ΚΑΡΥΣΤΟΥ - ΣΤΕΡΕΑΣ ΕΛΛΑΔΑΣ</v>
      </c>
      <c r="K314" t="str">
        <f t="shared" si="30"/>
        <v>ΣΤΕΡΕΑΣ ΕΛΛΑΔΑΣ</v>
      </c>
      <c r="L314" t="str">
        <f t="shared" si="31"/>
        <v>ΚΑΡΥΣΤΟΥ</v>
      </c>
      <c r="M314" s="65" t="s">
        <v>417</v>
      </c>
      <c r="N314" t="str">
        <f t="shared" si="33"/>
        <v xml:space="preserve">ΣΤΕΡΕΑΣ ΕΛΛΑΔΑΣ - ΚΑΡΥΣΤΟΥ, </v>
      </c>
      <c r="O31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</v>
      </c>
    </row>
    <row r="315" spans="1:15" x14ac:dyDescent="0.3">
      <c r="A315" s="77">
        <v>314</v>
      </c>
      <c r="B315" t="s">
        <v>412</v>
      </c>
      <c r="C315" t="s">
        <v>398</v>
      </c>
      <c r="D315" t="s">
        <v>348</v>
      </c>
      <c r="E315" t="s">
        <v>853</v>
      </c>
      <c r="F315">
        <v>14234</v>
      </c>
      <c r="G315" t="str">
        <f>LOOKUP(B315,ΠΕΡΙΦΕΡΕΙΑ!$A$2:$A$14,ΠΕΡΙΦΕΡΕΙΑ!$B$2:$B$14)</f>
        <v>Μερική</v>
      </c>
      <c r="H315">
        <f t="shared" si="28"/>
        <v>314</v>
      </c>
      <c r="I315">
        <f t="shared" si="29"/>
        <v>314</v>
      </c>
      <c r="J315" t="str">
        <f t="shared" si="32"/>
        <v>ΚΥΜΗΣ – ΑΛΙΒΕΡΙΟΥ - ΣΤΕΡΕΑΣ ΕΛΛΑΔΑΣ</v>
      </c>
      <c r="K315" t="str">
        <f t="shared" si="30"/>
        <v>ΣΤΕΡΕΑΣ ΕΛΛΑΔΑΣ</v>
      </c>
      <c r="L315" t="str">
        <f t="shared" si="31"/>
        <v>ΚΥΜΗΣ – ΑΛΙΒΕΡΙΟΥ</v>
      </c>
      <c r="M315" s="65" t="s">
        <v>417</v>
      </c>
      <c r="N315" t="str">
        <f t="shared" si="33"/>
        <v xml:space="preserve">ΣΤΕΡΕΑΣ ΕΛΛΑΔΑΣ - ΚΥΜΗΣ – ΑΛΙΒΕΡΙΟΥ, </v>
      </c>
      <c r="O31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</v>
      </c>
    </row>
    <row r="316" spans="1:15" x14ac:dyDescent="0.3">
      <c r="A316" s="77">
        <v>315</v>
      </c>
      <c r="B316" t="s">
        <v>412</v>
      </c>
      <c r="C316" t="s">
        <v>400</v>
      </c>
      <c r="D316" t="s">
        <v>356</v>
      </c>
      <c r="E316" t="s">
        <v>854</v>
      </c>
      <c r="F316">
        <v>14236</v>
      </c>
      <c r="G316" t="str">
        <f>LOOKUP(B316,ΠΕΡΙΦΕΡΕΙΑ!$A$2:$A$14,ΠΕΡΙΦΕΡΕΙΑ!$B$2:$B$14)</f>
        <v>Μερική</v>
      </c>
      <c r="H316">
        <f t="shared" si="28"/>
        <v>315</v>
      </c>
      <c r="I316">
        <f t="shared" si="29"/>
        <v>315</v>
      </c>
      <c r="J316" t="str">
        <f t="shared" si="32"/>
        <v>ΛΑΜΙΕΩΝ - ΣΤΕΡΕΑΣ ΕΛΛΑΔΑΣ</v>
      </c>
      <c r="K316" t="str">
        <f t="shared" si="30"/>
        <v>ΣΤΕΡΕΑΣ ΕΛΛΑΔΑΣ</v>
      </c>
      <c r="L316" t="str">
        <f t="shared" si="31"/>
        <v>ΛΑΜΙΕΩΝ</v>
      </c>
      <c r="M316" s="65" t="s">
        <v>417</v>
      </c>
      <c r="N316" t="str">
        <f t="shared" si="33"/>
        <v xml:space="preserve">ΣΤΕΡΕΑΣ ΕΛΛΑΔΑΣ - ΛΑΜΙΕΩΝ, </v>
      </c>
      <c r="O31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</v>
      </c>
    </row>
    <row r="317" spans="1:15" x14ac:dyDescent="0.3">
      <c r="A317" s="77">
        <v>316</v>
      </c>
      <c r="B317" t="s">
        <v>412</v>
      </c>
      <c r="C317" t="s">
        <v>397</v>
      </c>
      <c r="D317" t="s">
        <v>341</v>
      </c>
      <c r="E317" t="s">
        <v>855</v>
      </c>
      <c r="F317">
        <v>14250</v>
      </c>
      <c r="G317" t="str">
        <f>LOOKUP(B317,ΠΕΡΙΦΕΡΕΙΑ!$A$2:$A$14,ΠΕΡΙΦΕΡΕΙΑ!$B$2:$B$14)</f>
        <v>Μερική</v>
      </c>
      <c r="H317">
        <f t="shared" si="28"/>
        <v>316</v>
      </c>
      <c r="I317">
        <f t="shared" si="29"/>
        <v>316</v>
      </c>
      <c r="J317" t="str">
        <f t="shared" si="32"/>
        <v>ΛΕΒΑΔΕΩΝ - ΣΤΕΡΕΑΣ ΕΛΛΑΔΑΣ</v>
      </c>
      <c r="K317" t="str">
        <f t="shared" si="30"/>
        <v>ΣΤΕΡΕΑΣ ΕΛΛΑΔΑΣ</v>
      </c>
      <c r="L317" t="str">
        <f t="shared" si="31"/>
        <v>ΛΕΒΑΔΕΩΝ</v>
      </c>
      <c r="M317" s="65" t="s">
        <v>417</v>
      </c>
      <c r="N317" t="str">
        <f t="shared" si="33"/>
        <v xml:space="preserve">ΣΤΕΡΕΑΣ ΕΛΛΑΔΑΣ - ΛΕΒΑΔΕΩΝ, </v>
      </c>
      <c r="O31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</v>
      </c>
    </row>
    <row r="318" spans="1:15" x14ac:dyDescent="0.3">
      <c r="A318" s="77">
        <v>317</v>
      </c>
      <c r="B318" t="s">
        <v>412</v>
      </c>
      <c r="C318" t="s">
        <v>400</v>
      </c>
      <c r="D318" t="s">
        <v>357</v>
      </c>
      <c r="E318" t="s">
        <v>856</v>
      </c>
      <c r="F318">
        <v>14242</v>
      </c>
      <c r="G318" t="str">
        <f>LOOKUP(B318,ΠΕΡΙΦΕΡΕΙΑ!$A$2:$A$14,ΠΕΡΙΦΕΡΕΙΑ!$B$2:$B$14)</f>
        <v>Μερική</v>
      </c>
      <c r="H318">
        <f t="shared" si="28"/>
        <v>317</v>
      </c>
      <c r="I318">
        <f t="shared" si="29"/>
        <v>317</v>
      </c>
      <c r="J318" t="str">
        <f t="shared" si="32"/>
        <v>ΛΟΚΡΩΝ - ΣΤΕΡΕΑΣ ΕΛΛΑΔΑΣ</v>
      </c>
      <c r="K318" t="str">
        <f t="shared" si="30"/>
        <v>ΣΤΕΡΕΑΣ ΕΛΛΑΔΑΣ</v>
      </c>
      <c r="L318" t="str">
        <f t="shared" si="31"/>
        <v>ΛΟΚΡΩΝ</v>
      </c>
      <c r="M318" s="65" t="s">
        <v>417</v>
      </c>
      <c r="N318" t="str">
        <f t="shared" si="33"/>
        <v xml:space="preserve">ΣΤΕΡΕΑΣ ΕΛΛΑΔΑΣ - ΛΟΚΡΩΝ, </v>
      </c>
      <c r="O31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19" spans="1:15" x14ac:dyDescent="0.3">
      <c r="A319" s="77">
        <v>318</v>
      </c>
      <c r="B319" t="s">
        <v>412</v>
      </c>
      <c r="C319" t="s">
        <v>400</v>
      </c>
      <c r="D319" t="s">
        <v>358</v>
      </c>
      <c r="E319" t="s">
        <v>857</v>
      </c>
      <c r="F319">
        <v>14262</v>
      </c>
      <c r="G319" t="str">
        <f>LOOKUP(B319,ΠΕΡΙΦΕΡΕΙΑ!$A$2:$A$14,ΠΕΡΙΦΕΡΕΙΑ!$B$2:$B$14)</f>
        <v>Μερική</v>
      </c>
      <c r="H319">
        <f t="shared" si="28"/>
        <v>318</v>
      </c>
      <c r="I319">
        <f t="shared" si="29"/>
        <v>318</v>
      </c>
      <c r="J319" t="str">
        <f t="shared" si="32"/>
        <v>ΜΑΚΡΑΚΩΜΗΣ - ΣΤΕΡΕΑΣ ΕΛΛΑΔΑΣ</v>
      </c>
      <c r="K319" t="str">
        <f t="shared" si="30"/>
        <v>ΣΤΕΡΕΑΣ ΕΛΛΑΔΑΣ</v>
      </c>
      <c r="L319" t="str">
        <f t="shared" si="31"/>
        <v>ΜΑΚΡΑΚΩΜΗΣ</v>
      </c>
      <c r="M319" s="65" t="s">
        <v>418</v>
      </c>
      <c r="N319" t="str">
        <f t="shared" si="33"/>
        <v/>
      </c>
      <c r="O31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20" spans="1:15" x14ac:dyDescent="0.3">
      <c r="A320" s="77">
        <v>319</v>
      </c>
      <c r="B320" t="s">
        <v>412</v>
      </c>
      <c r="C320" t="s">
        <v>398</v>
      </c>
      <c r="D320" t="s">
        <v>349</v>
      </c>
      <c r="E320" t="s">
        <v>858</v>
      </c>
      <c r="F320">
        <v>14276</v>
      </c>
      <c r="G320" t="str">
        <f>LOOKUP(B320,ΠΕΡΙΦΕΡΕΙΑ!$A$2:$A$14,ΠΕΡΙΦΕΡΕΙΑ!$B$2:$B$14)</f>
        <v>Μερική</v>
      </c>
      <c r="H320">
        <f t="shared" si="28"/>
        <v>319</v>
      </c>
      <c r="I320">
        <f t="shared" si="29"/>
        <v>319</v>
      </c>
      <c r="J320" t="str">
        <f t="shared" si="32"/>
        <v>ΜΑΝΤΟΥΔΙΟΥ – ΛΙΜΝΗΣ – ΑΓΙΑΣ ΑΝΝΑΣ - ΣΤΕΡΕΑΣ ΕΛΛΑΔΑΣ</v>
      </c>
      <c r="K320" t="str">
        <f t="shared" si="30"/>
        <v>ΣΤΕΡΕΑΣ ΕΛΛΑΔΑΣ</v>
      </c>
      <c r="L320" t="str">
        <f t="shared" si="31"/>
        <v>ΜΑΝΤΟΥΔΙΟΥ – ΛΙΜΝΗΣ – ΑΓΙΑΣ ΑΝΝΑΣ</v>
      </c>
      <c r="M320" s="65" t="s">
        <v>418</v>
      </c>
      <c r="N320" t="str">
        <f t="shared" si="33"/>
        <v/>
      </c>
      <c r="O32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21" spans="1:15" x14ac:dyDescent="0.3">
      <c r="A321" s="77">
        <v>320</v>
      </c>
      <c r="B321" t="s">
        <v>412</v>
      </c>
      <c r="C321" t="s">
        <v>400</v>
      </c>
      <c r="D321" t="s">
        <v>359</v>
      </c>
      <c r="E321" t="s">
        <v>859</v>
      </c>
      <c r="F321">
        <v>14308</v>
      </c>
      <c r="G321" t="str">
        <f>LOOKUP(B321,ΠΕΡΙΦΕΡΕΙΑ!$A$2:$A$14,ΠΕΡΙΦΕΡΕΙΑ!$B$2:$B$14)</f>
        <v>Μερική</v>
      </c>
      <c r="H321">
        <f t="shared" si="28"/>
        <v>320</v>
      </c>
      <c r="I321">
        <f t="shared" si="29"/>
        <v>320</v>
      </c>
      <c r="J321" t="str">
        <f t="shared" si="32"/>
        <v>ΜΩΛΟΥ – ΑΓΙΟΥ ΚΩΝΣΤΑΝΤΙΝΟΥ - ΣΤΕΡΕΑΣ ΕΛΛΑΔΑΣ</v>
      </c>
      <c r="K321" t="str">
        <f t="shared" si="30"/>
        <v>ΣΤΕΡΕΑΣ ΕΛΛΑΔΑΣ</v>
      </c>
      <c r="L321" t="str">
        <f t="shared" si="31"/>
        <v>ΜΩΛΟΥ – ΑΓΙΟΥ ΚΩΝΣΤΑΝΤΙΝΟΥ</v>
      </c>
      <c r="M321" s="65" t="s">
        <v>417</v>
      </c>
      <c r="N321" t="str">
        <f t="shared" si="33"/>
        <v xml:space="preserve">ΣΤΕΡΕΑΣ ΕΛΛΑΔΑΣ - ΜΩΛΟΥ – ΑΓΙΟΥ ΚΩΝΣΤΑΝΤΙΝΟΥ, </v>
      </c>
      <c r="O32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</v>
      </c>
    </row>
    <row r="322" spans="1:15" x14ac:dyDescent="0.3">
      <c r="A322" s="77">
        <v>321</v>
      </c>
      <c r="B322" t="s">
        <v>412</v>
      </c>
      <c r="C322" t="s">
        <v>397</v>
      </c>
      <c r="D322" t="s">
        <v>342</v>
      </c>
      <c r="E322" t="s">
        <v>860</v>
      </c>
      <c r="F322">
        <v>14356</v>
      </c>
      <c r="G322" t="str">
        <f>LOOKUP(B322,ΠΕΡΙΦΕΡΕΙΑ!$A$2:$A$14,ΠΕΡΙΦΕΡΕΙΑ!$B$2:$B$14)</f>
        <v>Μερική</v>
      </c>
      <c r="H322">
        <f>IF(G322="Μερική",A322,"")</f>
        <v>321</v>
      </c>
      <c r="I322">
        <f>SMALL(H:H,A322)</f>
        <v>321</v>
      </c>
      <c r="J322" t="str">
        <f t="shared" si="32"/>
        <v>ΟΡΧΟΜΕΝΟΥ - ΣΤΕΡΕΑΣ ΕΛΛΑΔΑΣ</v>
      </c>
      <c r="K322" t="str">
        <f t="shared" si="30"/>
        <v>ΣΤΕΡΕΑΣ ΕΛΛΑΔΑΣ</v>
      </c>
      <c r="L322" t="str">
        <f t="shared" si="31"/>
        <v>ΟΡΧΟΜΕΝΟΥ</v>
      </c>
      <c r="M322" s="65" t="s">
        <v>417</v>
      </c>
      <c r="N322" t="str">
        <f t="shared" si="33"/>
        <v xml:space="preserve">ΣΤΕΡΕΑΣ ΕΛΛΑΔΑΣ - ΟΡΧΟΜΕΝΟΥ, </v>
      </c>
      <c r="O32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</v>
      </c>
    </row>
    <row r="323" spans="1:15" x14ac:dyDescent="0.3">
      <c r="A323" s="77">
        <v>322</v>
      </c>
      <c r="B323" t="s">
        <v>412</v>
      </c>
      <c r="C323" t="s">
        <v>398</v>
      </c>
      <c r="D323" t="s">
        <v>350</v>
      </c>
      <c r="E323" t="s">
        <v>861</v>
      </c>
      <c r="F323">
        <v>14474</v>
      </c>
      <c r="G323" t="str">
        <f>LOOKUP(B323,ΠΕΡΙΦΕΡΕΙΑ!$A$2:$A$14,ΠΕΡΙΦΕΡΕΙΑ!$B$2:$B$14)</f>
        <v>Μερική</v>
      </c>
      <c r="H323">
        <f>IF(G323="Μερική",A323,"")</f>
        <v>322</v>
      </c>
      <c r="I323">
        <f>SMALL(H:H,A323)</f>
        <v>322</v>
      </c>
      <c r="J323" t="str">
        <f>CONCATENATE(L323," - ",K323)</f>
        <v>ΣΚΥΡΟΥ - ΣΤΕΡΕΑΣ ΕΛΛΑΔΑΣ</v>
      </c>
      <c r="K323" t="str">
        <f t="shared" si="30"/>
        <v>ΣΤΕΡΕΑΣ ΕΛΛΑΔΑΣ</v>
      </c>
      <c r="L323" t="str">
        <f t="shared" si="31"/>
        <v>ΣΚΥΡΟΥ</v>
      </c>
      <c r="M323" s="65" t="s">
        <v>418</v>
      </c>
      <c r="N323" t="str">
        <f>IF(L323&lt;&gt;"",IF(M323="ΝΑΙ",K323&amp;" - "&amp;L323&amp;", ",""),"")</f>
        <v/>
      </c>
      <c r="O32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</v>
      </c>
    </row>
    <row r="324" spans="1:15" x14ac:dyDescent="0.3">
      <c r="A324" s="77">
        <v>323</v>
      </c>
      <c r="B324" t="s">
        <v>412</v>
      </c>
      <c r="C324" t="s">
        <v>400</v>
      </c>
      <c r="D324" t="s">
        <v>360</v>
      </c>
      <c r="E324" t="s">
        <v>862</v>
      </c>
      <c r="F324">
        <v>14484</v>
      </c>
      <c r="G324" t="str">
        <f>LOOKUP(B324,ΠΕΡΙΦΕΡΕΙΑ!$A$2:$A$14,ΠΕΡΙΦΕΡΕΙΑ!$B$2:$B$14)</f>
        <v>Μερική</v>
      </c>
      <c r="H324">
        <f>IF(G324="Μερική",A324,"")</f>
        <v>323</v>
      </c>
      <c r="I324">
        <f>SMALL(H:H,A324)</f>
        <v>323</v>
      </c>
      <c r="J324" t="str">
        <f>CONCATENATE(L324," - ",K324)</f>
        <v>ΣΤΥΛΙΔΟΣ - ΣΤΕΡΕΑΣ ΕΛΛΑΔΑΣ</v>
      </c>
      <c r="K324" t="str">
        <f t="shared" si="30"/>
        <v>ΣΤΕΡΕΑΣ ΕΛΛΑΔΑΣ</v>
      </c>
      <c r="L324" t="str">
        <f t="shared" si="31"/>
        <v>ΣΤΥΛΙΔΟΣ</v>
      </c>
      <c r="M324" s="65" t="s">
        <v>417</v>
      </c>
      <c r="N324" t="str">
        <f>IF(L324&lt;&gt;"",IF(M324="ΝΑΙ",K324&amp;" - "&amp;L324&amp;", ",""),"")</f>
        <v xml:space="preserve">ΣΤΕΡΕΑΣ ΕΛΛΑΔΑΣ - ΣΤΥΛΙΔΟΣ, </v>
      </c>
      <c r="O324" t="str">
        <f>O323&amp;N324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</v>
      </c>
    </row>
    <row r="325" spans="1:15" x14ac:dyDescent="0.3">
      <c r="A325" s="77">
        <v>324</v>
      </c>
      <c r="B325" t="s">
        <v>412</v>
      </c>
      <c r="C325" t="s">
        <v>397</v>
      </c>
      <c r="D325" t="s">
        <v>343</v>
      </c>
      <c r="E325" t="s">
        <v>863</v>
      </c>
      <c r="F325">
        <v>14444</v>
      </c>
      <c r="G325" t="str">
        <f>LOOKUP(B325,ΠΕΡΙΦΕΡΕΙΑ!$A$2:$A$14,ΠΕΡΙΦΕΡΕΙΑ!$B$2:$B$14)</f>
        <v>Μερική</v>
      </c>
      <c r="H325">
        <f>IF(G325="Μερική",A325,"")</f>
        <v>324</v>
      </c>
      <c r="I325">
        <f>SMALL(H:H,A325)</f>
        <v>324</v>
      </c>
      <c r="J325" t="str">
        <f>CONCATENATE(L325," - ",K325)</f>
        <v>ΤΑΝΑΓΡΑΣ - ΣΤΕΡΕΑΣ ΕΛΛΑΔΑΣ</v>
      </c>
      <c r="K325" t="str">
        <f t="shared" si="30"/>
        <v>ΣΤΕΡΕΑΣ ΕΛΛΑΔΑΣ</v>
      </c>
      <c r="L325" t="str">
        <f t="shared" si="31"/>
        <v>ΤΑΝΑΓΡΑΣ</v>
      </c>
      <c r="M325" s="65" t="s">
        <v>417</v>
      </c>
      <c r="N325" t="str">
        <f>IF(L325&lt;&gt;"",IF(M325="ΝΑΙ",K325&amp;" - "&amp;L325&amp;", ",""),"")</f>
        <v xml:space="preserve">ΣΤΕΡΕΑΣ ΕΛΛΑΔΑΣ - ΤΑΝΑΓΡΑΣ, </v>
      </c>
      <c r="O325" t="str">
        <f>O324&amp;N325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</v>
      </c>
    </row>
    <row r="326" spans="1:15" x14ac:dyDescent="0.3">
      <c r="A326" s="77">
        <v>325</v>
      </c>
      <c r="B326" t="s">
        <v>412</v>
      </c>
      <c r="C326" t="s">
        <v>398</v>
      </c>
      <c r="D326" t="s">
        <v>351</v>
      </c>
      <c r="E326" t="s">
        <v>864</v>
      </c>
      <c r="F326">
        <v>14538</v>
      </c>
      <c r="G326" t="str">
        <f>LOOKUP(B326,ΠΕΡΙΦΕΡΕΙΑ!$A$2:$A$14,ΠΕΡΙΦΕΡΕΙΑ!$B$2:$B$14)</f>
        <v>Μερική</v>
      </c>
      <c r="H326">
        <f>IF(G326="Μερική",A326,"")</f>
        <v>325</v>
      </c>
      <c r="I326">
        <f>SMALL(H:H,A326)</f>
        <v>325</v>
      </c>
      <c r="J326" t="str">
        <f>CONCATENATE(L326," - ",K326)</f>
        <v>ΧΑΛΚΙΔΕΩΝ - ΣΤΕΡΕΑΣ ΕΛΛΑΔΑΣ</v>
      </c>
      <c r="K326" t="str">
        <f t="shared" si="30"/>
        <v>ΣΤΕΡΕΑΣ ΕΛΛΑΔΑΣ</v>
      </c>
      <c r="L326" t="str">
        <f t="shared" si="31"/>
        <v>ΧΑΛΚΙΔΕΩΝ</v>
      </c>
      <c r="M326" s="65" t="s">
        <v>417</v>
      </c>
      <c r="N326" t="str">
        <f>IF(L326&lt;&gt;"",IF(M326="ΝΑΙ",K326&amp;" - "&amp;L326&amp;", ",""),"")</f>
        <v xml:space="preserve">ΣΤΕΡΕΑΣ ΕΛΛΑΔΑΣ - ΧΑΛΚΙΔΕΩΝ, </v>
      </c>
      <c r="O326" t="str">
        <f>O325&amp;N326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ΘΗΡΑΣ, ΝΟΤΙΟΥ ΑΙΓΑΙΟΥ - ΚΩ,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ΣΤΕΡΕΑΣ ΕΛΛΑΔΑΣ - ΧΑΛΚΙΔΕΩΝ, </v>
      </c>
    </row>
  </sheetData>
  <sheetProtection algorithmName="SHA-512" hashValue="m3prD3ei2Q2Yg/gJ84r0uFemKdTJltvoNV9PmF8hyFVvzaUX7HA78kRfMYKOC/CfFZ6SdSKbr4ApUrSkeyXDNw==" saltValue="DFlARYtf+nADfqpawu7ViA==" spinCount="100000" sheet="1" objects="1" scenarios="1"/>
  <dataValidations count="1">
    <dataValidation type="list" allowBlank="1" showInputMessage="1" showErrorMessage="1" sqref="M2:M326" xr:uid="{00000000-0002-0000-0200-000000000000}">
      <formula1>CoverageNaiOxi</formula1>
    </dataValidation>
  </dataValidations>
  <hyperlinks>
    <hyperlink ref="D309" r:id="rId1" tooltip="Δήμος Δωρίδας" display="http://www.dimosprofile.gr/media/dimos-doridas/" xr:uid="{00000000-0004-0000-0200-000000000000}"/>
    <hyperlink ref="D318" r:id="rId2" tooltip="Δήμος Λοκρών" display="http://www.dimosprofile.gr/media/dimos-lokron/" xr:uid="{00000000-0004-0000-0200-000001000000}"/>
    <hyperlink ref="D315" r:id="rId3" display="http://www.dimosprofile.gr/media/dimos-kymis/" xr:uid="{00000000-0004-0000-0200-000002000000}"/>
    <hyperlink ref="D314" r:id="rId4" tooltip="Δήμος Καρύστου" display="http://www.dimosprofile.gr/media/dimos-karistou/" xr:uid="{00000000-0004-0000-0200-000003000000}"/>
    <hyperlink ref="D311" r:id="rId5" display="http://www.dimosprofile.gr/media/dimos-thivas/" xr:uid="{00000000-0004-0000-0200-000004000000}"/>
    <hyperlink ref="D291" r:id="rId6" tooltip="Δήμος Μονεμβασιάς" display="http://www.dimosprofile.gr/media/dimos-monevasias/" xr:uid="{00000000-0004-0000-0200-000005000000}"/>
    <hyperlink ref="D294" r:id="rId7" display="http://www.dimosprofile.gr/media/dimos-notias-kinoyrias/" xr:uid="{00000000-0004-0000-0200-000006000000}"/>
    <hyperlink ref="D249" r:id="rId8" display="http://www.dimosprofile.gr/media/dimos-iou/" xr:uid="{00000000-0004-0000-0200-000007000000}"/>
    <hyperlink ref="D228" r:id="rId9" display="http://www.dimosprofile.gr/media/dimos-ierapetras/" xr:uid="{00000000-0004-0000-0200-000008000000}"/>
    <hyperlink ref="D190" r:id="rId10" tooltip="Δήμος Έδεσσας" display="http://www.dimosprofile.gr/media/dimos-edessas/" xr:uid="{00000000-0004-0000-0200-000009000000}"/>
    <hyperlink ref="D175" r:id="rId11" display="http://www.dimosprofile.gr/media/dimos-kerkyras/" xr:uid="{00000000-0004-0000-0200-00000A000000}"/>
    <hyperlink ref="D154" r:id="rId12" display="http://www.dimosprofile.gr/media/dimos-mouresiou/" xr:uid="{00000000-0004-0000-0200-00000B000000}"/>
    <hyperlink ref="D144" r:id="rId13" tooltip="Δήμος Πρέβεζας" display="http://www.dimosprofile.gr/media/dimos-prevezas/" xr:uid="{00000000-0004-0000-0200-00000C000000}"/>
    <hyperlink ref="D129" r:id="rId14" display="http://www.dimosprofile.gr/media/dimos-florinas/" xr:uid="{00000000-0004-0000-0200-00000D000000}"/>
    <hyperlink ref="D100" r:id="rId15" display="http://www.dimosprofile.gr/media/dimos-aigialias/" xr:uid="{00000000-0004-0000-0200-00000E000000}"/>
    <hyperlink ref="D113" r:id="rId16" display="http://www.dimosprofile.gr/media/dimos-nafpaktias/" xr:uid="{00000000-0004-0000-0200-00000F000000}"/>
    <hyperlink ref="D91" r:id="rId17" tooltip="Δήμος Ικαρίας" display="http://www.dimosprofile.gr/media/dimos-ikarias/" xr:uid="{00000000-0004-0000-0200-000010000000}"/>
    <hyperlink ref="D81" r:id="rId18" display="http://www.dimosprofile.gr/media/dimos-spetson/" xr:uid="{00000000-0004-0000-0200-000011000000}"/>
    <hyperlink ref="D21" r:id="rId19" tooltip="Δήμος Σαμοθράκης" display="http://www.dimosprofile.gr/media/dimos-samothrakis/" xr:uid="{00000000-0004-0000-0200-000012000000}"/>
  </hyperlinks>
  <pageMargins left="0.7" right="0.7" top="0.75" bottom="0.75" header="0.3" footer="0.3"/>
  <pageSetup orientation="portrait" r:id="rId20"/>
  <headerFooter>
    <oddFooter>&amp;L&amp;1#&amp;"Calibri"&amp;7&amp;K000000C2 General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4D596AE2-1C63-489B-A32F-2748097D7C5A}">
            <xm:f>Lists!$F$3</xm:f>
            <x14:dxf>
              <font>
                <color rgb="FF009900"/>
              </font>
              <fill>
                <patternFill>
                  <bgColor rgb="FFC8FFC8"/>
                </patternFill>
              </fill>
            </x14:dxf>
          </x14:cfRule>
          <x14:cfRule type="cellIs" priority="1" operator="equal" id="{7B299BCC-9758-4327-B2FB-8C2B7DF37CD2}">
            <xm:f>Lists!$F$4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m:sqref>M2:M326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26"/>
  <sheetViews>
    <sheetView showGridLines="0" topLeftCell="F1" workbookViewId="0">
      <selection activeCell="M2" sqref="M2:M326"/>
    </sheetView>
  </sheetViews>
  <sheetFormatPr defaultColWidth="9.109375" defaultRowHeight="14.4" x14ac:dyDescent="0.3"/>
  <cols>
    <col min="1" max="1" width="9.109375" style="130" customWidth="1"/>
    <col min="2" max="4" width="37.109375" style="130" customWidth="1"/>
    <col min="5" max="5" width="59.6640625" bestFit="1" customWidth="1"/>
    <col min="6" max="6" width="32.88671875" bestFit="1" customWidth="1"/>
    <col min="7" max="7" width="6" bestFit="1" customWidth="1"/>
    <col min="8" max="8" width="7.88671875" customWidth="1"/>
    <col min="9" max="9" width="15.6640625" customWidth="1"/>
    <col min="10" max="10" width="10.5546875" customWidth="1"/>
    <col min="11" max="11" width="9.109375" style="130" customWidth="1"/>
    <col min="12" max="12" width="52.6640625" style="75" customWidth="1"/>
    <col min="13" max="13" width="58.33203125" style="75" customWidth="1"/>
    <col min="14" max="14" width="8.44140625" style="75" bestFit="1" customWidth="1"/>
    <col min="15" max="15" width="23.44140625" style="75" customWidth="1"/>
    <col min="16" max="16384" width="9.109375" style="130"/>
  </cols>
  <sheetData>
    <row r="1" spans="1:15" x14ac:dyDescent="0.3">
      <c r="A1" s="15" t="s">
        <v>415</v>
      </c>
      <c r="B1" s="15" t="s">
        <v>413</v>
      </c>
      <c r="C1" s="15" t="s">
        <v>36</v>
      </c>
      <c r="D1" s="15" t="s">
        <v>414</v>
      </c>
      <c r="E1" s="15"/>
      <c r="F1" s="15"/>
      <c r="G1" s="15"/>
      <c r="H1" s="15"/>
      <c r="I1" s="16"/>
      <c r="J1" s="16"/>
      <c r="K1" s="16"/>
      <c r="L1" s="15" t="s">
        <v>413</v>
      </c>
      <c r="M1" s="15" t="s">
        <v>459</v>
      </c>
      <c r="N1" s="15"/>
      <c r="O1" s="15"/>
    </row>
    <row r="2" spans="1:15" x14ac:dyDescent="0.3">
      <c r="A2">
        <v>1</v>
      </c>
      <c r="B2" t="s">
        <v>37</v>
      </c>
      <c r="C2" t="s">
        <v>55</v>
      </c>
      <c r="D2" t="s">
        <v>53</v>
      </c>
      <c r="E2" t="str">
        <f t="shared" ref="E2:E65" si="0">B2&amp;" - "&amp;D2&amp;", "</f>
        <v xml:space="preserve">ΑΝΑΤΟΛΙΚΗΣ ΜΑΚΕΔΟΝΙΑΣ ΚΑΙ ΘΡΑΚΗΣ - ΑΒΔΗΡΩΝ, </v>
      </c>
      <c r="F2" t="s">
        <v>541</v>
      </c>
      <c r="G2">
        <v>13920</v>
      </c>
      <c r="H2" t="str">
        <f t="shared" ref="H2:H65" si="1">_xlfn.IFNA(INDEX(DimosNaiOxi,MATCH(E2,DimosNai,0)),"")</f>
        <v>ΝΑΙ</v>
      </c>
      <c r="I2" t="str">
        <f>LOOKUP(B2,ΠΕΡΙΦΕΡΕΙΑ!$A$2:$A$14,ΠΕΡΙΦΕΡΕΙΑ!$B$2:$B$14)</f>
        <v>Μερική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3">
      <c r="A3">
        <v>2</v>
      </c>
      <c r="B3" t="s">
        <v>37</v>
      </c>
      <c r="C3" t="s">
        <v>363</v>
      </c>
      <c r="D3" t="s">
        <v>44</v>
      </c>
      <c r="E3" t="str">
        <f t="shared" si="0"/>
        <v xml:space="preserve">ΑΝΑΤΟΛΙΚΗΣ ΜΑΚΕΔΟΝΙΑΣ ΚΑΙ ΘΡΑΚΗΣ - ΑΛΕΞΑΝΔΡΟΥΠΟΛΗΣ, </v>
      </c>
      <c r="F3" t="s">
        <v>542</v>
      </c>
      <c r="G3">
        <v>13906</v>
      </c>
      <c r="H3" t="str">
        <f t="shared" si="1"/>
        <v>ΝΑΙ</v>
      </c>
      <c r="I3" t="str">
        <f>LOOKUP(B3,ΠΕΡΙΦΕΡΕΙΑ!$A$2:$A$14,ΠΕΡΙΦΕΡΕΙΑ!$B$2:$B$14)</f>
        <v>Μερική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13906</v>
      </c>
      <c r="O3" t="str">
        <f t="shared" ref="O3:O66" si="7">IF(ISNUMBER(K3),LOOKUP(K3,A:A,F:F),"")</f>
        <v>Αλεξανδρούπολης</v>
      </c>
    </row>
    <row r="4" spans="1:15" x14ac:dyDescent="0.3">
      <c r="A4">
        <v>3</v>
      </c>
      <c r="B4" t="s">
        <v>37</v>
      </c>
      <c r="C4" t="s">
        <v>364</v>
      </c>
      <c r="D4" t="s">
        <v>57</v>
      </c>
      <c r="E4" t="str">
        <f t="shared" si="0"/>
        <v xml:space="preserve">ΑΝΑΤΟΛΙΚΗΣ ΜΑΚΕΔΟΝΙΑΣ ΚΑΙ ΘΡΑΚΗΣ - ΑΡΡΙΑΝΩΝ, </v>
      </c>
      <c r="F4" t="s">
        <v>543</v>
      </c>
      <c r="G4">
        <v>13910</v>
      </c>
      <c r="H4" t="str">
        <f t="shared" si="1"/>
        <v/>
      </c>
      <c r="I4" t="str">
        <f>LOOKUP(B4,ΠΕΡΙΦΕΡΕΙΑ!$A$2:$A$14,ΠΕΡΙΦΕΡΕΙΑ!$B$2:$B$14)</f>
        <v>Μερική</v>
      </c>
      <c r="J4" t="str">
        <f t="shared" si="5"/>
        <v/>
      </c>
      <c r="K4">
        <f t="shared" si="6"/>
        <v>4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ΔΙΔΥΜΟΤΕΙΧΟΥ</v>
      </c>
      <c r="N4">
        <f t="shared" si="4"/>
        <v>14058</v>
      </c>
      <c r="O4" t="str">
        <f t="shared" si="7"/>
        <v>Διδυμοτείχου</v>
      </c>
    </row>
    <row r="5" spans="1:15" x14ac:dyDescent="0.3">
      <c r="A5">
        <v>4</v>
      </c>
      <c r="B5" t="s">
        <v>37</v>
      </c>
      <c r="C5" t="s">
        <v>363</v>
      </c>
      <c r="D5" t="s">
        <v>45</v>
      </c>
      <c r="E5" t="str">
        <f t="shared" si="0"/>
        <v xml:space="preserve">ΑΝΑΤΟΛΙΚΗΣ ΜΑΚΕΔΟΝΙΑΣ ΚΑΙ ΘΡΑΚΗΣ - ΔΙΔΥΜΟΤΕΙΧΟΥ, </v>
      </c>
      <c r="F5" t="s">
        <v>544</v>
      </c>
      <c r="G5">
        <v>14058</v>
      </c>
      <c r="H5" t="str">
        <f t="shared" si="1"/>
        <v>ΝΑΙ</v>
      </c>
      <c r="I5" t="str">
        <f>LOOKUP(B5,ΠΕΡΙΦΕΡΕΙΑ!$A$2:$A$14,ΠΕΡΙΦΕΡΕΙΑ!$B$2:$B$14)</f>
        <v>Μερική</v>
      </c>
      <c r="J5">
        <f t="shared" si="5"/>
        <v>4</v>
      </c>
      <c r="K5">
        <f t="shared" si="6"/>
        <v>5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ΔΟΞΑΤΟΥ</v>
      </c>
      <c r="N5">
        <f t="shared" si="4"/>
        <v>14068</v>
      </c>
      <c r="O5" t="str">
        <f t="shared" si="7"/>
        <v>Δοξάτου</v>
      </c>
    </row>
    <row r="6" spans="1:15" x14ac:dyDescent="0.3">
      <c r="A6">
        <v>5</v>
      </c>
      <c r="B6" t="s">
        <v>37</v>
      </c>
      <c r="C6" t="s">
        <v>40</v>
      </c>
      <c r="D6" t="s">
        <v>39</v>
      </c>
      <c r="E6" t="str">
        <f t="shared" si="0"/>
        <v xml:space="preserve">ΑΝΑΤΟΛΙΚΗΣ ΜΑΚΕΔΟΝΙΑΣ ΚΑΙ ΘΡΑΚΗΣ - ΔΟΞΑΤΟΥ, </v>
      </c>
      <c r="F6" t="s">
        <v>545</v>
      </c>
      <c r="G6">
        <v>14068</v>
      </c>
      <c r="H6" t="str">
        <f t="shared" si="1"/>
        <v>ΝΑΙ</v>
      </c>
      <c r="I6" t="str">
        <f>LOOKUP(B6,ΠΕΡΙΦΕΡΕΙΑ!$A$2:$A$14,ΠΕΡΙΦΕΡΕΙΑ!$B$2:$B$14)</f>
        <v>Μερική</v>
      </c>
      <c r="J6">
        <f t="shared" si="5"/>
        <v>5</v>
      </c>
      <c r="K6">
        <f t="shared" si="6"/>
        <v>6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ΔΡΑΜΑΣ</v>
      </c>
      <c r="N6">
        <f t="shared" si="4"/>
        <v>14070</v>
      </c>
      <c r="O6" t="str">
        <f t="shared" si="7"/>
        <v>Δράμας</v>
      </c>
    </row>
    <row r="7" spans="1:15" x14ac:dyDescent="0.3">
      <c r="A7">
        <v>6</v>
      </c>
      <c r="B7" t="s">
        <v>37</v>
      </c>
      <c r="C7" t="s">
        <v>40</v>
      </c>
      <c r="D7" t="s">
        <v>40</v>
      </c>
      <c r="E7" t="str">
        <f t="shared" si="0"/>
        <v xml:space="preserve">ΑΝΑΤΟΛΙΚΗΣ ΜΑΚΕΔΟΝΙΑΣ ΚΑΙ ΘΡΑΚΗΣ - ΔΡΑΜΑΣ, </v>
      </c>
      <c r="F7" t="s">
        <v>546</v>
      </c>
      <c r="G7">
        <v>14070</v>
      </c>
      <c r="H7" t="str">
        <f t="shared" si="1"/>
        <v>ΝΑΙ</v>
      </c>
      <c r="I7" t="str">
        <f>LOOKUP(B7,ΠΕΡΙΦΕΡΕΙΑ!$A$2:$A$14,ΠΕΡΙΦΕΡΕΙΑ!$B$2:$B$14)</f>
        <v>Μερική</v>
      </c>
      <c r="J7">
        <f t="shared" si="5"/>
        <v>6</v>
      </c>
      <c r="K7">
        <f t="shared" si="6"/>
        <v>7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ΘΑΣΟΥ</v>
      </c>
      <c r="N7">
        <f t="shared" si="4"/>
        <v>14124</v>
      </c>
      <c r="O7" t="str">
        <f t="shared" si="7"/>
        <v>Θάσου</v>
      </c>
    </row>
    <row r="8" spans="1:15" x14ac:dyDescent="0.3">
      <c r="A8">
        <v>7</v>
      </c>
      <c r="B8" t="s">
        <v>37</v>
      </c>
      <c r="C8" t="s">
        <v>49</v>
      </c>
      <c r="D8" t="s">
        <v>49</v>
      </c>
      <c r="E8" t="str">
        <f t="shared" si="0"/>
        <v xml:space="preserve">ΑΝΑΤΟΛΙΚΗΣ ΜΑΚΕΔΟΝΙΑΣ ΚΑΙ ΘΡΑΚΗΣ - ΘΑΣΟΥ, </v>
      </c>
      <c r="F8" t="s">
        <v>547</v>
      </c>
      <c r="G8">
        <v>14124</v>
      </c>
      <c r="H8" t="str">
        <f t="shared" si="1"/>
        <v>ΝΑΙ</v>
      </c>
      <c r="I8" t="str">
        <f>LOOKUP(B8,ΠΕΡΙΦΕΡΕΙΑ!$A$2:$A$14,ΠΕΡΙΦΕΡΕΙΑ!$B$2:$B$14)</f>
        <v>Μερική</v>
      </c>
      <c r="J8">
        <f t="shared" si="5"/>
        <v>7</v>
      </c>
      <c r="K8">
        <f t="shared" si="6"/>
        <v>9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ΚΑΒΑΛΑΣ</v>
      </c>
      <c r="N8">
        <f t="shared" si="4"/>
        <v>14156</v>
      </c>
      <c r="O8" t="str">
        <f t="shared" si="7"/>
        <v>Καβάλας</v>
      </c>
    </row>
    <row r="9" spans="1:15" x14ac:dyDescent="0.3">
      <c r="A9">
        <v>8</v>
      </c>
      <c r="B9" t="s">
        <v>37</v>
      </c>
      <c r="C9" t="s">
        <v>364</v>
      </c>
      <c r="D9" t="s">
        <v>58</v>
      </c>
      <c r="E9" t="str">
        <f t="shared" si="0"/>
        <v xml:space="preserve">ΑΝΑΤΟΛΙΚΗΣ ΜΑΚΕΔΟΝΙΑΣ ΚΑΙ ΘΡΑΚΗΣ - ΙΑΣΜΟΥ, </v>
      </c>
      <c r="F9" t="s">
        <v>548</v>
      </c>
      <c r="G9">
        <v>14140</v>
      </c>
      <c r="H9" t="str">
        <f t="shared" si="1"/>
        <v/>
      </c>
      <c r="I9" t="str">
        <f>LOOKUP(B9,ΠΕΡΙΦΕΡΕΙΑ!$A$2:$A$14,ΠΕΡΙΦΕΡΕΙΑ!$B$2:$B$14)</f>
        <v>Μερική</v>
      </c>
      <c r="J9" t="str">
        <f t="shared" si="5"/>
        <v/>
      </c>
      <c r="K9">
        <f t="shared" si="6"/>
        <v>11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ΚΟΜΟΤΗΝΗΣ</v>
      </c>
      <c r="N9">
        <f t="shared" si="4"/>
        <v>14220</v>
      </c>
      <c r="O9" t="str">
        <f t="shared" si="7"/>
        <v>Κομοτηνής</v>
      </c>
    </row>
    <row r="10" spans="1:15" x14ac:dyDescent="0.3">
      <c r="A10">
        <v>9</v>
      </c>
      <c r="B10" t="s">
        <v>37</v>
      </c>
      <c r="C10" t="s">
        <v>50</v>
      </c>
      <c r="D10" t="s">
        <v>50</v>
      </c>
      <c r="E10" t="str">
        <f t="shared" si="0"/>
        <v xml:space="preserve">ΑΝΑΤΟΛΙΚΗΣ ΜΑΚΕΔΟΝΙΑΣ ΚΑΙ ΘΡΑΚΗΣ - ΚΑΒΑΛΑΣ, </v>
      </c>
      <c r="F10" t="s">
        <v>549</v>
      </c>
      <c r="G10">
        <v>14156</v>
      </c>
      <c r="H10" t="str">
        <f t="shared" si="1"/>
        <v>ΝΑΙ</v>
      </c>
      <c r="I10" t="str">
        <f>LOOKUP(B10,ΠΕΡΙΦΕΡΕΙΑ!$A$2:$A$14,ΠΕΡΙΦΕΡΕΙΑ!$B$2:$B$14)</f>
        <v>Μερική</v>
      </c>
      <c r="J10">
        <f t="shared" si="5"/>
        <v>9</v>
      </c>
      <c r="K10">
        <f t="shared" si="6"/>
        <v>14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ΝΕΣΤΟΥ</v>
      </c>
      <c r="N10">
        <f t="shared" si="4"/>
        <v>14336</v>
      </c>
      <c r="O10" t="str">
        <f t="shared" si="7"/>
        <v>Νέστου</v>
      </c>
    </row>
    <row r="11" spans="1:15" x14ac:dyDescent="0.3">
      <c r="A11">
        <v>10</v>
      </c>
      <c r="B11" t="s">
        <v>37</v>
      </c>
      <c r="C11" t="s">
        <v>40</v>
      </c>
      <c r="D11" t="s">
        <v>41</v>
      </c>
      <c r="E11" t="str">
        <f t="shared" si="0"/>
        <v xml:space="preserve">ΑΝΑΤΟΛΙΚΗΣ ΜΑΚΕΔΟΝΙΑΣ ΚΑΙ ΘΡΑΚΗΣ - ΚΑΤΩ ΝΕΥΡΟΚΟΠΙΟΥ, </v>
      </c>
      <c r="F11" t="s">
        <v>550</v>
      </c>
      <c r="G11">
        <v>14202</v>
      </c>
      <c r="H11" t="str">
        <f t="shared" si="1"/>
        <v/>
      </c>
      <c r="I11" t="str">
        <f>LOOKUP(B11,ΠΕΡΙΦΕΡΕΙΑ!$A$2:$A$14,ΠΕΡΙΦΕΡΕΙΑ!$B$2:$B$14)</f>
        <v>Μερική</v>
      </c>
      <c r="J11" t="str">
        <f t="shared" si="5"/>
        <v/>
      </c>
      <c r="K11">
        <f t="shared" si="6"/>
        <v>15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ΞΑΝΘΗΣ</v>
      </c>
      <c r="N11">
        <f t="shared" si="4"/>
        <v>14330</v>
      </c>
      <c r="O11" t="str">
        <f t="shared" si="7"/>
        <v>Ξάνθης</v>
      </c>
    </row>
    <row r="12" spans="1:15" x14ac:dyDescent="0.3">
      <c r="A12">
        <v>11</v>
      </c>
      <c r="B12" t="s">
        <v>37</v>
      </c>
      <c r="C12" t="s">
        <v>364</v>
      </c>
      <c r="D12" t="s">
        <v>59</v>
      </c>
      <c r="E12" t="str">
        <f t="shared" si="0"/>
        <v xml:space="preserve">ΑΝΑΤΟΛΙΚΗΣ ΜΑΚΕΔΟΝΙΑΣ ΚΑΙ ΘΡΑΚΗΣ - ΚΟΜΟΤΗΝΗΣ, </v>
      </c>
      <c r="F12" t="s">
        <v>551</v>
      </c>
      <c r="G12">
        <v>14220</v>
      </c>
      <c r="H12" t="str">
        <f t="shared" si="1"/>
        <v>ΝΑΙ</v>
      </c>
      <c r="I12" t="str">
        <f>LOOKUP(B12,ΠΕΡΙΦΕΡΕΙΑ!$A$2:$A$14,ΠΕΡΙΦΕΡΕΙΑ!$B$2:$B$14)</f>
        <v>Μερική</v>
      </c>
      <c r="J12">
        <f t="shared" si="5"/>
        <v>11</v>
      </c>
      <c r="K12">
        <f t="shared" si="6"/>
        <v>16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ΟΡΕΣΤΙΑΔΑΣ</v>
      </c>
      <c r="N12">
        <f t="shared" si="4"/>
        <v>14352</v>
      </c>
      <c r="O12" t="str">
        <f t="shared" si="7"/>
        <v>Ορεστιάδας</v>
      </c>
    </row>
    <row r="13" spans="1:15" x14ac:dyDescent="0.3">
      <c r="A13">
        <v>12</v>
      </c>
      <c r="B13" t="s">
        <v>37</v>
      </c>
      <c r="C13" t="s">
        <v>364</v>
      </c>
      <c r="D13" t="s">
        <v>60</v>
      </c>
      <c r="E13" t="str">
        <f t="shared" si="0"/>
        <v xml:space="preserve">ΑΝΑΤΟΛΙΚΗΣ ΜΑΚΕΔΟΝΙΑΣ ΚΑΙ ΘΡΑΚΗΣ - ΜΑΡΩΝΕΙΑΣ – ΣΑΠΩΝ, </v>
      </c>
      <c r="F13" t="s">
        <v>552</v>
      </c>
      <c r="G13">
        <v>14280</v>
      </c>
      <c r="H13" t="str">
        <f t="shared" si="1"/>
        <v/>
      </c>
      <c r="I13" t="str">
        <f>LOOKUP(B13,ΠΕΡΙΦΕΡΕΙΑ!$A$2:$A$14,ΠΕΡΙΦΕΡΕΙΑ!$B$2:$B$14)</f>
        <v>Μερική</v>
      </c>
      <c r="J13" t="str">
        <f t="shared" si="5"/>
        <v/>
      </c>
      <c r="K13">
        <f t="shared" si="6"/>
        <v>17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ΠΑΓΓΑΙΟΥ</v>
      </c>
      <c r="N13">
        <f t="shared" si="4"/>
        <v>14360</v>
      </c>
      <c r="O13" t="str">
        <f t="shared" si="7"/>
        <v>Παγγαίου</v>
      </c>
    </row>
    <row r="14" spans="1:15" x14ac:dyDescent="0.3">
      <c r="A14">
        <v>13</v>
      </c>
      <c r="B14" t="s">
        <v>37</v>
      </c>
      <c r="C14" t="s">
        <v>55</v>
      </c>
      <c r="D14" t="s">
        <v>54</v>
      </c>
      <c r="E14" t="str">
        <f t="shared" si="0"/>
        <v xml:space="preserve">ΑΝΑΤΟΛΙΚΗΣ ΜΑΚΕΔΟΝΙΑΣ ΚΑΙ ΘΡΑΚΗΣ - ΜΥΚΗΣ, </v>
      </c>
      <c r="F14" t="s">
        <v>553</v>
      </c>
      <c r="G14">
        <v>14304</v>
      </c>
      <c r="H14" t="str">
        <f t="shared" si="1"/>
        <v/>
      </c>
      <c r="I14" t="str">
        <f>LOOKUP(B14,ΠΕΡΙΦΕΡΕΙΑ!$A$2:$A$14,ΠΕΡΙΦΕΡΕΙΑ!$B$2:$B$14)</f>
        <v>Μερική</v>
      </c>
      <c r="J14" t="str">
        <f t="shared" si="5"/>
        <v/>
      </c>
      <c r="K14">
        <f t="shared" si="6"/>
        <v>19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ΠΡΟΣΟΤΣΑΝΗΣ</v>
      </c>
      <c r="N14">
        <f t="shared" si="4"/>
        <v>14420</v>
      </c>
      <c r="O14" t="str">
        <f t="shared" si="7"/>
        <v>Προσοτσάνης</v>
      </c>
    </row>
    <row r="15" spans="1:15" x14ac:dyDescent="0.3">
      <c r="A15">
        <v>14</v>
      </c>
      <c r="B15" t="s">
        <v>37</v>
      </c>
      <c r="C15" t="s">
        <v>50</v>
      </c>
      <c r="D15" t="s">
        <v>51</v>
      </c>
      <c r="E15" t="str">
        <f t="shared" si="0"/>
        <v xml:space="preserve">ΑΝΑΤΟΛΙΚΗΣ ΜΑΚΕΔΟΝΙΑΣ ΚΑΙ ΘΡΑΚΗΣ - ΝΕΣΤΟΥ, </v>
      </c>
      <c r="F15" t="s">
        <v>554</v>
      </c>
      <c r="G15">
        <v>14336</v>
      </c>
      <c r="H15" t="str">
        <f t="shared" si="1"/>
        <v>ΝΑΙ</v>
      </c>
      <c r="I15" t="str">
        <f>LOOKUP(B15,ΠΕΡΙΦΕΡΕΙΑ!$A$2:$A$14,ΠΕΡΙΦΕΡΕΙΑ!$B$2:$B$14)</f>
        <v>Μερική</v>
      </c>
      <c r="J15">
        <f t="shared" si="5"/>
        <v>14</v>
      </c>
      <c r="K15">
        <f t="shared" si="6"/>
        <v>21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ΣΟΥΦΛΙΟΥ</v>
      </c>
      <c r="N15">
        <f t="shared" si="4"/>
        <v>14470</v>
      </c>
      <c r="O15" t="str">
        <f t="shared" si="7"/>
        <v>Σουφλίου</v>
      </c>
    </row>
    <row r="16" spans="1:15" x14ac:dyDescent="0.3">
      <c r="A16">
        <v>15</v>
      </c>
      <c r="B16" t="s">
        <v>37</v>
      </c>
      <c r="C16" t="s">
        <v>55</v>
      </c>
      <c r="D16" t="s">
        <v>55</v>
      </c>
      <c r="E16" t="str">
        <f t="shared" si="0"/>
        <v xml:space="preserve">ΑΝΑΤΟΛΙΚΗΣ ΜΑΚΕΔΟΝΙΑΣ ΚΑΙ ΘΡΑΚΗΣ - ΞΑΝΘΗΣ, </v>
      </c>
      <c r="F16" t="s">
        <v>555</v>
      </c>
      <c r="G16">
        <v>14330</v>
      </c>
      <c r="H16" t="str">
        <f t="shared" si="1"/>
        <v>ΝΑΙ</v>
      </c>
      <c r="I16" t="str">
        <f>LOOKUP(B16,ΠΕΡΙΦΕΡΕΙΑ!$A$2:$A$14,ΠΕΡΙΦΕΡΕΙΑ!$B$2:$B$14)</f>
        <v>Μερική</v>
      </c>
      <c r="J16">
        <f t="shared" si="5"/>
        <v>15</v>
      </c>
      <c r="K16">
        <f t="shared" si="6"/>
        <v>23</v>
      </c>
      <c r="L16" t="str">
        <f t="shared" si="2"/>
        <v>ΑΤΤΙΚΗΣ</v>
      </c>
      <c r="M16" t="str">
        <f t="shared" si="3"/>
        <v>ΑΤΤΙΚΗΣ - ΑΓΙΑΣ ΒΑΡΒΑΡΑΣ</v>
      </c>
      <c r="N16">
        <f t="shared" si="4"/>
        <v>13922</v>
      </c>
      <c r="O16" t="str">
        <f t="shared" si="7"/>
        <v>Αγίας Βαρβάρας</v>
      </c>
    </row>
    <row r="17" spans="1:15" x14ac:dyDescent="0.3">
      <c r="A17">
        <v>16</v>
      </c>
      <c r="B17" t="s">
        <v>37</v>
      </c>
      <c r="C17" t="s">
        <v>363</v>
      </c>
      <c r="D17" t="s">
        <v>46</v>
      </c>
      <c r="E17" t="str">
        <f t="shared" si="0"/>
        <v xml:space="preserve">ΑΝΑΤΟΛΙΚΗΣ ΜΑΚΕΔΟΝΙΑΣ ΚΑΙ ΘΡΑΚΗΣ - ΟΡΕΣΤΙΑΔΑΣ, </v>
      </c>
      <c r="F17" t="s">
        <v>556</v>
      </c>
      <c r="G17">
        <v>14352</v>
      </c>
      <c r="H17" t="str">
        <f t="shared" si="1"/>
        <v>ΝΑΙ</v>
      </c>
      <c r="I17" t="str">
        <f>LOOKUP(B17,ΠΕΡΙΦΕΡΕΙΑ!$A$2:$A$14,ΠΕΡΙΦΕΡΕΙΑ!$B$2:$B$14)</f>
        <v>Μερική</v>
      </c>
      <c r="J17">
        <f t="shared" si="5"/>
        <v>16</v>
      </c>
      <c r="K17">
        <f t="shared" si="6"/>
        <v>24</v>
      </c>
      <c r="L17" t="str">
        <f t="shared" si="2"/>
        <v>ΑΤΤΙΚΗΣ</v>
      </c>
      <c r="M17" t="str">
        <f t="shared" si="3"/>
        <v>ΑΤΤΙΚΗΣ - ΑΓΙΑΣ ΠΑΡΑΣΚΕΥΗΣ</v>
      </c>
      <c r="N17">
        <f t="shared" si="4"/>
        <v>13924</v>
      </c>
      <c r="O17" t="str">
        <f t="shared" si="7"/>
        <v>Αγίας Παρασκευής</v>
      </c>
    </row>
    <row r="18" spans="1:15" x14ac:dyDescent="0.3">
      <c r="A18">
        <v>17</v>
      </c>
      <c r="B18" t="s">
        <v>37</v>
      </c>
      <c r="C18" t="s">
        <v>50</v>
      </c>
      <c r="D18" t="s">
        <v>52</v>
      </c>
      <c r="E18" t="str">
        <f t="shared" si="0"/>
        <v xml:space="preserve">ΑΝΑΤΟΛΙΚΗΣ ΜΑΚΕΔΟΝΙΑΣ ΚΑΙ ΘΡΑΚΗΣ - ΠΑΓΓΑΙΟΥ, </v>
      </c>
      <c r="F18" t="s">
        <v>557</v>
      </c>
      <c r="G18">
        <v>14360</v>
      </c>
      <c r="H18" t="str">
        <f t="shared" si="1"/>
        <v>ΝΑΙ</v>
      </c>
      <c r="I18" t="str">
        <f>LOOKUP(B18,ΠΕΡΙΦΕΡΕΙΑ!$A$2:$A$14,ΠΕΡΙΦΕΡΕΙΑ!$B$2:$B$14)</f>
        <v>Μερική</v>
      </c>
      <c r="J18">
        <f t="shared" si="5"/>
        <v>17</v>
      </c>
      <c r="K18">
        <f t="shared" si="6"/>
        <v>25</v>
      </c>
      <c r="L18" t="str">
        <f t="shared" si="2"/>
        <v>ΑΤΤΙΚΗΣ</v>
      </c>
      <c r="M18" t="str">
        <f t="shared" si="3"/>
        <v>ΑΤΤΙΚΗΣ - ΑΓΙΟΥ ΔΗΜΗΤΡΙΟΥ</v>
      </c>
      <c r="N18">
        <f t="shared" si="4"/>
        <v>13926</v>
      </c>
      <c r="O18" t="str">
        <f t="shared" si="7"/>
        <v>Αγίου Δημητρίου</v>
      </c>
    </row>
    <row r="19" spans="1:15" x14ac:dyDescent="0.3">
      <c r="A19">
        <v>18</v>
      </c>
      <c r="B19" t="s">
        <v>37</v>
      </c>
      <c r="C19" t="s">
        <v>40</v>
      </c>
      <c r="D19" t="s">
        <v>42</v>
      </c>
      <c r="E19" t="str">
        <f t="shared" si="0"/>
        <v xml:space="preserve">ΑΝΑΤΟΛΙΚΗΣ ΜΑΚΕΔΟΝΙΑΣ ΚΑΙ ΘΡΑΚΗΣ - ΠΑΡΑΝΕΣΤΙΟΥ, </v>
      </c>
      <c r="F19" t="s">
        <v>558</v>
      </c>
      <c r="G19">
        <v>14396</v>
      </c>
      <c r="H19" t="str">
        <f t="shared" si="1"/>
        <v/>
      </c>
      <c r="I19" t="str">
        <f>LOOKUP(B19,ΠΕΡΙΦΕΡΕΙΑ!$A$2:$A$14,ΠΕΡΙΦΕΡΕΙΑ!$B$2:$B$14)</f>
        <v>Μερική</v>
      </c>
      <c r="J19" t="str">
        <f t="shared" si="5"/>
        <v/>
      </c>
      <c r="K19">
        <f t="shared" si="6"/>
        <v>26</v>
      </c>
      <c r="L19" t="str">
        <f t="shared" si="2"/>
        <v>ΑΤΤΙΚΗΣ</v>
      </c>
      <c r="M19" t="str">
        <f t="shared" si="3"/>
        <v>ΑΤΤΙΚΗΣ - ΑΓΙΩΝ ΑΝΑΡΓΥΡΩΝ – ΚΑΜΑΤΕΡΟΥ</v>
      </c>
      <c r="N19">
        <f t="shared" si="4"/>
        <v>13932</v>
      </c>
      <c r="O19" t="str">
        <f t="shared" si="7"/>
        <v>Αγίων Αναργύρων - Καματερού</v>
      </c>
    </row>
    <row r="20" spans="1:15" x14ac:dyDescent="0.3">
      <c r="A20">
        <v>19</v>
      </c>
      <c r="B20" t="s">
        <v>37</v>
      </c>
      <c r="C20" t="s">
        <v>40</v>
      </c>
      <c r="D20" t="s">
        <v>43</v>
      </c>
      <c r="E20" t="str">
        <f t="shared" si="0"/>
        <v xml:space="preserve">ΑΝΑΤΟΛΙΚΗΣ ΜΑΚΕΔΟΝΙΑΣ ΚΑΙ ΘΡΑΚΗΣ - ΠΡΟΣΟΤΣΑΝΗΣ, </v>
      </c>
      <c r="F20" t="s">
        <v>559</v>
      </c>
      <c r="G20">
        <v>14420</v>
      </c>
      <c r="H20" t="str">
        <f t="shared" si="1"/>
        <v>ΝΑΙ</v>
      </c>
      <c r="I20" t="str">
        <f>LOOKUP(B20,ΠΕΡΙΦΕΡΕΙΑ!$A$2:$A$14,ΠΕΡΙΦΕΡΕΙΑ!$B$2:$B$14)</f>
        <v>Μερική</v>
      </c>
      <c r="J20">
        <f t="shared" si="5"/>
        <v>19</v>
      </c>
      <c r="K20">
        <f t="shared" si="6"/>
        <v>28</v>
      </c>
      <c r="L20" t="str">
        <f t="shared" si="2"/>
        <v>ΑΤΤΙΚΗΣ</v>
      </c>
      <c r="M20" t="str">
        <f t="shared" si="3"/>
        <v>ΑΤΤΙΚΗΣ - ΑΘΗΝΑΙΩΝ</v>
      </c>
      <c r="N20">
        <f t="shared" si="4"/>
        <v>13944</v>
      </c>
      <c r="O20" t="str">
        <f t="shared" si="7"/>
        <v>Αθηναίων</v>
      </c>
    </row>
    <row r="21" spans="1:15" x14ac:dyDescent="0.3">
      <c r="A21">
        <v>20</v>
      </c>
      <c r="B21" t="s">
        <v>37</v>
      </c>
      <c r="C21" t="s">
        <v>363</v>
      </c>
      <c r="D21" t="s">
        <v>47</v>
      </c>
      <c r="E21" t="str">
        <f t="shared" si="0"/>
        <v xml:space="preserve">ΑΝΑΤΟΛΙΚΗΣ ΜΑΚΕΔΟΝΙΑΣ ΚΑΙ ΘΡΑΚΗΣ - ΣΑΜΟΘΡΑΚΗΣ, </v>
      </c>
      <c r="F21" t="s">
        <v>560</v>
      </c>
      <c r="G21">
        <v>14432</v>
      </c>
      <c r="H21" t="str">
        <f t="shared" si="1"/>
        <v/>
      </c>
      <c r="I21" t="str">
        <f>LOOKUP(B21,ΠΕΡΙΦΕΡΕΙΑ!$A$2:$A$14,ΠΕΡΙΦΕΡΕΙΑ!$B$2:$B$14)</f>
        <v>Μερική</v>
      </c>
      <c r="J21" t="str">
        <f t="shared" si="5"/>
        <v/>
      </c>
      <c r="K21">
        <f t="shared" si="6"/>
        <v>29</v>
      </c>
      <c r="L21" t="str">
        <f t="shared" si="2"/>
        <v>ΑΤΤΙΚΗΣ</v>
      </c>
      <c r="M21" t="str">
        <f t="shared" si="3"/>
        <v>ΑΤΤΙΚΗΣ - ΑΙΓΑΛΕΩ</v>
      </c>
      <c r="N21">
        <f t="shared" si="4"/>
        <v>13946</v>
      </c>
      <c r="O21" t="str">
        <f t="shared" si="7"/>
        <v>Αιγάλεω</v>
      </c>
    </row>
    <row r="22" spans="1:15" x14ac:dyDescent="0.3">
      <c r="A22">
        <v>21</v>
      </c>
      <c r="B22" t="s">
        <v>37</v>
      </c>
      <c r="C22" t="s">
        <v>363</v>
      </c>
      <c r="D22" t="s">
        <v>48</v>
      </c>
      <c r="E22" t="str">
        <f t="shared" si="0"/>
        <v xml:space="preserve">ΑΝΑΤΟΛΙΚΗΣ ΜΑΚΕΔΟΝΙΑΣ ΚΑΙ ΘΡΑΚΗΣ - ΣΟΥΦΛΙΟΥ, </v>
      </c>
      <c r="F22" t="s">
        <v>561</v>
      </c>
      <c r="G22">
        <v>14470</v>
      </c>
      <c r="H22" t="str">
        <f t="shared" si="1"/>
        <v>ΝΑΙ</v>
      </c>
      <c r="I22" t="str">
        <f>LOOKUP(B22,ΠΕΡΙΦΕΡΕΙΑ!$A$2:$A$14,ΠΕΡΙΦΕΡΕΙΑ!$B$2:$B$14)</f>
        <v>Μερική</v>
      </c>
      <c r="J22">
        <f t="shared" si="5"/>
        <v>21</v>
      </c>
      <c r="K22">
        <f t="shared" si="6"/>
        <v>30</v>
      </c>
      <c r="L22" t="str">
        <f t="shared" si="2"/>
        <v>ΑΤΤΙΚΗΣ</v>
      </c>
      <c r="M22" t="str">
        <f t="shared" si="3"/>
        <v>ΑΤΤΙΚΗΣ - ΑΙΓΙΝΑΣ</v>
      </c>
      <c r="N22">
        <f t="shared" si="4"/>
        <v>13948</v>
      </c>
      <c r="O22" t="str">
        <f t="shared" si="7"/>
        <v>Αίγινας</v>
      </c>
    </row>
    <row r="23" spans="1:15" x14ac:dyDescent="0.3">
      <c r="A23">
        <v>22</v>
      </c>
      <c r="B23" t="s">
        <v>37</v>
      </c>
      <c r="C23" t="s">
        <v>55</v>
      </c>
      <c r="D23" t="s">
        <v>56</v>
      </c>
      <c r="E23" t="str">
        <f t="shared" si="0"/>
        <v xml:space="preserve">ΑΝΑΤΟΛΙΚΗΣ ΜΑΚΕΔΟΝΙΑΣ ΚΑΙ ΘΡΑΚΗΣ - ΤΟΠΕΙΡΟΥ, </v>
      </c>
      <c r="F23" t="s">
        <v>562</v>
      </c>
      <c r="G23">
        <v>14492</v>
      </c>
      <c r="H23" t="str">
        <f t="shared" si="1"/>
        <v/>
      </c>
      <c r="I23" t="str">
        <f>LOOKUP(B23,ΠΕΡΙΦΕΡΕΙΑ!$A$2:$A$14,ΠΕΡΙΦΕΡΕΙΑ!$B$2:$B$14)</f>
        <v>Μερική</v>
      </c>
      <c r="J23" t="str">
        <f t="shared" si="5"/>
        <v/>
      </c>
      <c r="K23">
        <f t="shared" si="6"/>
        <v>31</v>
      </c>
      <c r="L23" t="str">
        <f t="shared" si="2"/>
        <v>ΑΤΤΙΚΗΣ</v>
      </c>
      <c r="M23" t="str">
        <f t="shared" si="3"/>
        <v>ΑΤΤΙΚΗΣ - ΑΛΙΜΟΥ</v>
      </c>
      <c r="N23">
        <f t="shared" si="4"/>
        <v>13956</v>
      </c>
      <c r="O23" t="str">
        <f t="shared" si="7"/>
        <v>Αλίμου</v>
      </c>
    </row>
    <row r="24" spans="1:15" x14ac:dyDescent="0.3">
      <c r="A24">
        <v>23</v>
      </c>
      <c r="B24" t="s">
        <v>38</v>
      </c>
      <c r="C24" t="s">
        <v>368</v>
      </c>
      <c r="D24" t="s">
        <v>91</v>
      </c>
      <c r="E24" t="str">
        <f t="shared" si="0"/>
        <v xml:space="preserve">ΑΤΤΙΚΗΣ - ΑΓΙΑΣ ΒΑΡΒΑΡΑΣ, </v>
      </c>
      <c r="F24" t="s">
        <v>563</v>
      </c>
      <c r="G24">
        <v>13922</v>
      </c>
      <c r="H24" t="str">
        <f t="shared" si="1"/>
        <v>ΝΑΙ</v>
      </c>
      <c r="I24" t="str">
        <f>LOOKUP(B24,ΠΕΡΙΦΕΡΕΙΑ!$A$2:$A$14,ΠΕΡΙΦΕΡΕΙΑ!$B$2:$B$14)</f>
        <v>Μερική</v>
      </c>
      <c r="J24">
        <f t="shared" si="5"/>
        <v>23</v>
      </c>
      <c r="K24">
        <f t="shared" si="6"/>
        <v>32</v>
      </c>
      <c r="L24" t="str">
        <f t="shared" si="2"/>
        <v>ΑΤΤΙΚΗΣ</v>
      </c>
      <c r="M24" t="str">
        <f t="shared" si="3"/>
        <v>ΑΤΤΙΚΗΣ - ΑΜΑΡΟΥΣΙΟΥ</v>
      </c>
      <c r="N24">
        <f t="shared" si="4"/>
        <v>13964</v>
      </c>
      <c r="O24" t="str">
        <f t="shared" si="7"/>
        <v>Αμαρουσίου</v>
      </c>
    </row>
    <row r="25" spans="1:15" x14ac:dyDescent="0.3">
      <c r="A25">
        <v>24</v>
      </c>
      <c r="B25" t="s">
        <v>38</v>
      </c>
      <c r="C25" t="s">
        <v>366</v>
      </c>
      <c r="D25" t="s">
        <v>74</v>
      </c>
      <c r="E25" t="str">
        <f t="shared" si="0"/>
        <v xml:space="preserve">ΑΤΤΙΚΗΣ - ΑΓΙΑΣ ΠΑΡΑΣΚΕΥΗΣ, </v>
      </c>
      <c r="F25" t="s">
        <v>564</v>
      </c>
      <c r="G25">
        <v>13924</v>
      </c>
      <c r="H25" t="str">
        <f t="shared" si="1"/>
        <v>ΝΑΙ</v>
      </c>
      <c r="I25" t="str">
        <f>LOOKUP(B25,ΠΕΡΙΦΕΡΕΙΑ!$A$2:$A$14,ΠΕΡΙΦΕΡΕΙΑ!$B$2:$B$14)</f>
        <v>Μερική</v>
      </c>
      <c r="J25">
        <f t="shared" si="5"/>
        <v>24</v>
      </c>
      <c r="K25">
        <f t="shared" si="6"/>
        <v>33</v>
      </c>
      <c r="L25" t="str">
        <f t="shared" si="2"/>
        <v>ΑΤΤΙΚΗΣ</v>
      </c>
      <c r="M25" t="str">
        <f t="shared" si="3"/>
        <v>ΑΤΤΙΚΗΣ - ΑΣΠΡΟΠΥΡΓΟΥ</v>
      </c>
      <c r="N25">
        <f t="shared" si="4"/>
        <v>14004</v>
      </c>
      <c r="O25" t="str">
        <f t="shared" si="7"/>
        <v>Ασπροπύργου</v>
      </c>
    </row>
    <row r="26" spans="1:15" x14ac:dyDescent="0.3">
      <c r="A26">
        <v>25</v>
      </c>
      <c r="B26" t="s">
        <v>38</v>
      </c>
      <c r="C26" t="s">
        <v>371</v>
      </c>
      <c r="D26" t="s">
        <v>114</v>
      </c>
      <c r="E26" t="str">
        <f t="shared" si="0"/>
        <v xml:space="preserve">ΑΤΤΙΚΗΣ - ΑΓΙΟΥ ΔΗΜΗΤΡΙΟΥ, </v>
      </c>
      <c r="F26" t="s">
        <v>565</v>
      </c>
      <c r="G26">
        <v>13926</v>
      </c>
      <c r="H26" t="str">
        <f t="shared" si="1"/>
        <v>ΝΑΙ</v>
      </c>
      <c r="I26" t="str">
        <f>LOOKUP(B26,ΠΕΡΙΦΕΡΕΙΑ!$A$2:$A$14,ΠΕΡΙΦΕΡΕΙΑ!$B$2:$B$14)</f>
        <v>Μερική</v>
      </c>
      <c r="J26">
        <f t="shared" si="5"/>
        <v>25</v>
      </c>
      <c r="K26">
        <f t="shared" si="6"/>
        <v>34</v>
      </c>
      <c r="L26" t="str">
        <f t="shared" si="2"/>
        <v>ΑΤΤΙΚΗΣ</v>
      </c>
      <c r="M26" t="str">
        <f t="shared" si="3"/>
        <v>ΑΤΤΙΚΗΣ - ΑΧΑΡΝΩΝ</v>
      </c>
      <c r="N26">
        <f t="shared" si="4"/>
        <v>14008</v>
      </c>
      <c r="O26" t="str">
        <f t="shared" si="7"/>
        <v>Αχαρνών</v>
      </c>
    </row>
    <row r="27" spans="1:15" x14ac:dyDescent="0.3">
      <c r="A27">
        <v>26</v>
      </c>
      <c r="B27" t="s">
        <v>38</v>
      </c>
      <c r="C27" t="s">
        <v>368</v>
      </c>
      <c r="D27" t="s">
        <v>92</v>
      </c>
      <c r="E27" t="str">
        <f t="shared" si="0"/>
        <v xml:space="preserve">ΑΤΤΙΚΗΣ - ΑΓΙΩΝ ΑΝΑΡΓΥΡΩΝ – ΚΑΜΑΤΕΡΟΥ, </v>
      </c>
      <c r="F27" t="s">
        <v>566</v>
      </c>
      <c r="G27">
        <v>13932</v>
      </c>
      <c r="H27" t="str">
        <f t="shared" si="1"/>
        <v>ΝΑΙ</v>
      </c>
      <c r="I27" t="str">
        <f>LOOKUP(B27,ΠΕΡΙΦΕΡΕΙΑ!$A$2:$A$14,ΠΕΡΙΦΕΡΕΙΑ!$B$2:$B$14)</f>
        <v>Μερική</v>
      </c>
      <c r="J27">
        <f t="shared" si="5"/>
        <v>26</v>
      </c>
      <c r="K27">
        <f t="shared" si="6"/>
        <v>35</v>
      </c>
      <c r="L27" t="str">
        <f t="shared" si="2"/>
        <v>ΑΤΤΙΚΗΣ</v>
      </c>
      <c r="M27" t="str">
        <f t="shared" si="3"/>
        <v>ΑΤΤΙΚΗΣ - ΒΑΡΗΣ – ΒΟΥΛΑΣ – ΒΟΥΛΙΑΓΜΕΝΗΣ</v>
      </c>
      <c r="N27">
        <f t="shared" si="4"/>
        <v>14010</v>
      </c>
      <c r="O27" t="str">
        <f t="shared" si="7"/>
        <v>Βάρης - Βούλας - Βουλιαγμένης</v>
      </c>
    </row>
    <row r="28" spans="1:15" x14ac:dyDescent="0.3">
      <c r="A28">
        <v>27</v>
      </c>
      <c r="B28" t="s">
        <v>38</v>
      </c>
      <c r="C28" t="s">
        <v>370</v>
      </c>
      <c r="D28" t="s">
        <v>106</v>
      </c>
      <c r="E28" t="str">
        <f t="shared" si="0"/>
        <v xml:space="preserve">ΑΤΤΙΚΗΣ - ΑΓΚΙΣΤΡΙΟΥ, </v>
      </c>
      <c r="F28" t="s">
        <v>567</v>
      </c>
      <c r="G28">
        <v>13934</v>
      </c>
      <c r="H28" t="str">
        <f t="shared" si="1"/>
        <v/>
      </c>
      <c r="I28" t="str">
        <f>LOOKUP(B28,ΠΕΡΙΦΕΡΕΙΑ!$A$2:$A$14,ΠΕΡΙΦΕΡΕΙΑ!$B$2:$B$14)</f>
        <v>Μερική</v>
      </c>
      <c r="J28" t="str">
        <f t="shared" si="5"/>
        <v/>
      </c>
      <c r="K28">
        <f t="shared" si="6"/>
        <v>36</v>
      </c>
      <c r="L28" t="str">
        <f t="shared" si="2"/>
        <v>ΑΤΤΙΚΗΣ</v>
      </c>
      <c r="M28" t="str">
        <f t="shared" si="3"/>
        <v>ΑΤΤΙΚΗΣ - ΒΡΙΛΗΣΣΙΩΝ</v>
      </c>
      <c r="N28">
        <f t="shared" si="4"/>
        <v>14024</v>
      </c>
      <c r="O28" t="str">
        <f t="shared" si="7"/>
        <v>Βριλησσίων</v>
      </c>
    </row>
    <row r="29" spans="1:15" x14ac:dyDescent="0.3">
      <c r="A29">
        <v>28</v>
      </c>
      <c r="B29" t="s">
        <v>38</v>
      </c>
      <c r="C29" t="s">
        <v>369</v>
      </c>
      <c r="D29" t="s">
        <v>98</v>
      </c>
      <c r="E29" t="str">
        <f t="shared" si="0"/>
        <v xml:space="preserve">ΑΤΤΙΚΗΣ - ΑΘΗΝΑΙΩΝ, </v>
      </c>
      <c r="F29" t="s">
        <v>568</v>
      </c>
      <c r="G29">
        <v>13944</v>
      </c>
      <c r="H29" t="str">
        <f t="shared" si="1"/>
        <v>ΝΑΙ</v>
      </c>
      <c r="I29" t="str">
        <f>LOOKUP(B29,ΠΕΡΙΦΕΡΕΙΑ!$A$2:$A$14,ΠΕΡΙΦΕΡΕΙΑ!$B$2:$B$14)</f>
        <v>Μερική</v>
      </c>
      <c r="J29">
        <f t="shared" si="5"/>
        <v>28</v>
      </c>
      <c r="K29">
        <f t="shared" si="6"/>
        <v>37</v>
      </c>
      <c r="L29" t="str">
        <f t="shared" si="2"/>
        <v>ΑΤΤΙΚΗΣ</v>
      </c>
      <c r="M29" t="str">
        <f t="shared" si="3"/>
        <v>ΑΤΤΙΚΗΣ - ΒΥΡΩΝΟΣ</v>
      </c>
      <c r="N29">
        <f t="shared" si="4"/>
        <v>14032</v>
      </c>
      <c r="O29" t="str">
        <f t="shared" si="7"/>
        <v>Βύρωνος</v>
      </c>
    </row>
    <row r="30" spans="1:15" x14ac:dyDescent="0.3">
      <c r="A30">
        <v>29</v>
      </c>
      <c r="B30" t="s">
        <v>38</v>
      </c>
      <c r="C30" t="s">
        <v>368</v>
      </c>
      <c r="D30" t="s">
        <v>93</v>
      </c>
      <c r="E30" t="str">
        <f t="shared" si="0"/>
        <v xml:space="preserve">ΑΤΤΙΚΗΣ - ΑΙΓΑΛΕΩ, </v>
      </c>
      <c r="F30" t="s">
        <v>569</v>
      </c>
      <c r="G30">
        <v>13946</v>
      </c>
      <c r="H30" t="str">
        <f t="shared" si="1"/>
        <v>ΝΑΙ</v>
      </c>
      <c r="I30" t="str">
        <f>LOOKUP(B30,ΠΕΡΙΦΕΡΕΙΑ!$A$2:$A$14,ΠΕΡΙΦΕΡΕΙΑ!$B$2:$B$14)</f>
        <v>Μερική</v>
      </c>
      <c r="J30">
        <f t="shared" si="5"/>
        <v>29</v>
      </c>
      <c r="K30">
        <f t="shared" si="6"/>
        <v>38</v>
      </c>
      <c r="L30" t="str">
        <f t="shared" si="2"/>
        <v>ΑΤΤΙΚΗΣ</v>
      </c>
      <c r="M30" t="str">
        <f t="shared" si="3"/>
        <v>ΑΤΤΙΚΗΣ - ΓΑΛΑΤΣΙΟΥ</v>
      </c>
      <c r="N30">
        <f t="shared" si="4"/>
        <v>14036</v>
      </c>
      <c r="O30" t="str">
        <f t="shared" si="7"/>
        <v>Γαλατσίου</v>
      </c>
    </row>
    <row r="31" spans="1:15" x14ac:dyDescent="0.3">
      <c r="A31">
        <v>30</v>
      </c>
      <c r="B31" t="s">
        <v>38</v>
      </c>
      <c r="C31" t="s">
        <v>370</v>
      </c>
      <c r="D31" t="s">
        <v>107</v>
      </c>
      <c r="E31" t="str">
        <f t="shared" si="0"/>
        <v xml:space="preserve">ΑΤΤΙΚΗΣ - ΑΙΓΙΝΑΣ, </v>
      </c>
      <c r="F31" t="s">
        <v>570</v>
      </c>
      <c r="G31">
        <v>13948</v>
      </c>
      <c r="H31" t="str">
        <f t="shared" si="1"/>
        <v>ΝΑΙ</v>
      </c>
      <c r="I31" t="str">
        <f>LOOKUP(B31,ΠΕΡΙΦΕΡΕΙΑ!$A$2:$A$14,ΠΕΡΙΦΕΡΕΙΑ!$B$2:$B$14)</f>
        <v>Μερική</v>
      </c>
      <c r="J31">
        <f t="shared" si="5"/>
        <v>30</v>
      </c>
      <c r="K31">
        <f t="shared" si="6"/>
        <v>39</v>
      </c>
      <c r="L31" t="str">
        <f t="shared" si="2"/>
        <v>ΑΤΤΙΚΗΣ</v>
      </c>
      <c r="M31" t="str">
        <f t="shared" si="3"/>
        <v>ΑΤΤΙΚΗΣ - ΓΛΥΦΑΔΑΣ</v>
      </c>
      <c r="N31">
        <f t="shared" si="4"/>
        <v>14040</v>
      </c>
      <c r="O31" t="str">
        <f t="shared" si="7"/>
        <v>Γλυφάδας</v>
      </c>
    </row>
    <row r="32" spans="1:15" x14ac:dyDescent="0.3">
      <c r="A32">
        <v>31</v>
      </c>
      <c r="B32" t="s">
        <v>38</v>
      </c>
      <c r="C32" t="s">
        <v>371</v>
      </c>
      <c r="D32" t="s">
        <v>115</v>
      </c>
      <c r="E32" t="str">
        <f t="shared" si="0"/>
        <v xml:space="preserve">ΑΤΤΙΚΗΣ - ΑΛΙΜΟΥ, </v>
      </c>
      <c r="F32" t="s">
        <v>571</v>
      </c>
      <c r="G32">
        <v>13956</v>
      </c>
      <c r="H32" t="str">
        <f t="shared" si="1"/>
        <v>ΝΑΙ</v>
      </c>
      <c r="I32" t="str">
        <f>LOOKUP(B32,ΠΕΡΙΦΕΡΕΙΑ!$A$2:$A$14,ΠΕΡΙΦΕΡΕΙΑ!$B$2:$B$14)</f>
        <v>Μερική</v>
      </c>
      <c r="J32">
        <f t="shared" si="5"/>
        <v>31</v>
      </c>
      <c r="K32">
        <f t="shared" si="6"/>
        <v>40</v>
      </c>
      <c r="L32" t="str">
        <f t="shared" si="2"/>
        <v>ΑΤΤΙΚΗΣ</v>
      </c>
      <c r="M32" t="str">
        <f t="shared" si="3"/>
        <v>ΑΤΤΙΚΗΣ - ΔΑΦΝΗΣ – ΥΜΗΤΤΟΥ</v>
      </c>
      <c r="N32">
        <f t="shared" si="4"/>
        <v>14048</v>
      </c>
      <c r="O32" t="str">
        <f t="shared" si="7"/>
        <v>Δάφνης - Υμηττού</v>
      </c>
    </row>
    <row r="33" spans="1:15" x14ac:dyDescent="0.3">
      <c r="A33">
        <v>32</v>
      </c>
      <c r="B33" t="s">
        <v>38</v>
      </c>
      <c r="C33" t="s">
        <v>366</v>
      </c>
      <c r="D33" t="s">
        <v>75</v>
      </c>
      <c r="E33" t="str">
        <f t="shared" si="0"/>
        <v xml:space="preserve">ΑΤΤΙΚΗΣ - ΑΜΑΡΟΥΣΙΟΥ, </v>
      </c>
      <c r="F33" t="s">
        <v>572</v>
      </c>
      <c r="G33">
        <v>13964</v>
      </c>
      <c r="H33" t="str">
        <f t="shared" si="1"/>
        <v>ΝΑΙ</v>
      </c>
      <c r="I33" t="str">
        <f>LOOKUP(B33,ΠΕΡΙΦΕΡΕΙΑ!$A$2:$A$14,ΠΕΡΙΦΕΡΕΙΑ!$B$2:$B$14)</f>
        <v>Μερική</v>
      </c>
      <c r="J33">
        <f t="shared" si="5"/>
        <v>32</v>
      </c>
      <c r="K33">
        <f t="shared" si="6"/>
        <v>41</v>
      </c>
      <c r="L33" t="str">
        <f t="shared" si="2"/>
        <v>ΑΤΤΙΚΗΣ</v>
      </c>
      <c r="M33" t="str">
        <f t="shared" si="3"/>
        <v>ΑΤΤΙΚΗΣ - ΔΙΟΝΥΣΟΥ</v>
      </c>
      <c r="N33">
        <f t="shared" si="4"/>
        <v>14060</v>
      </c>
      <c r="O33" t="str">
        <f t="shared" si="7"/>
        <v>Διονύσου</v>
      </c>
    </row>
    <row r="34" spans="1:15" x14ac:dyDescent="0.3">
      <c r="A34">
        <v>33</v>
      </c>
      <c r="B34" t="s">
        <v>38</v>
      </c>
      <c r="C34" t="s">
        <v>367</v>
      </c>
      <c r="D34" t="s">
        <v>86</v>
      </c>
      <c r="E34" t="str">
        <f t="shared" si="0"/>
        <v xml:space="preserve">ΑΤΤΙΚΗΣ - ΑΣΠΡΟΠΥΡΓΟΥ, </v>
      </c>
      <c r="F34" t="s">
        <v>573</v>
      </c>
      <c r="G34">
        <v>14004</v>
      </c>
      <c r="H34" t="str">
        <f t="shared" si="1"/>
        <v>ΝΑΙ</v>
      </c>
      <c r="I34" t="str">
        <f>LOOKUP(B34,ΠΕΡΙΦΕΡΕΙΑ!$A$2:$A$14,ΠΕΡΙΦΕΡΕΙΑ!$B$2:$B$14)</f>
        <v>Μερική</v>
      </c>
      <c r="J34">
        <f t="shared" si="5"/>
        <v>33</v>
      </c>
      <c r="K34">
        <f t="shared" si="6"/>
        <v>42</v>
      </c>
      <c r="L34" t="str">
        <f t="shared" si="2"/>
        <v>ΑΤΤΙΚΗΣ</v>
      </c>
      <c r="M34" t="str">
        <f t="shared" si="3"/>
        <v>ΑΤΤΙΚΗΣ - ΕΛΕΥΣΙΝΑΣ</v>
      </c>
      <c r="N34">
        <f t="shared" si="4"/>
        <v>14084</v>
      </c>
      <c r="O34" t="str">
        <f t="shared" si="7"/>
        <v>Ελευσίνας</v>
      </c>
    </row>
    <row r="35" spans="1:15" x14ac:dyDescent="0.3">
      <c r="A35">
        <v>34</v>
      </c>
      <c r="B35" t="s">
        <v>38</v>
      </c>
      <c r="C35" t="s">
        <v>365</v>
      </c>
      <c r="D35" t="s">
        <v>61</v>
      </c>
      <c r="E35" t="str">
        <f t="shared" si="0"/>
        <v xml:space="preserve">ΑΤΤΙΚΗΣ - ΑΧΑΡΝΩΝ, </v>
      </c>
      <c r="F35" t="s">
        <v>574</v>
      </c>
      <c r="G35">
        <v>14008</v>
      </c>
      <c r="H35" t="str">
        <f t="shared" si="1"/>
        <v>ΝΑΙ</v>
      </c>
      <c r="I35" t="str">
        <f>LOOKUP(B35,ΠΕΡΙΦΕΡΕΙΑ!$A$2:$A$14,ΠΕΡΙΦΕΡΕΙΑ!$B$2:$B$14)</f>
        <v>Μερική</v>
      </c>
      <c r="J35">
        <f t="shared" si="5"/>
        <v>34</v>
      </c>
      <c r="K35">
        <f t="shared" si="6"/>
        <v>43</v>
      </c>
      <c r="L35" t="str">
        <f t="shared" si="2"/>
        <v>ΑΤΤΙΚΗΣ</v>
      </c>
      <c r="M35" t="str">
        <f t="shared" si="3"/>
        <v>ΑΤΤΙΚΗΣ - ΕΛΛΗΝΙΚΟΥ – ΑΡΓΥΡΟΥΠΟΛΗΣ</v>
      </c>
      <c r="N35">
        <f t="shared" si="4"/>
        <v>14086</v>
      </c>
      <c r="O35" t="str">
        <f t="shared" si="7"/>
        <v>Ελληνικού - Αργυρούπολης</v>
      </c>
    </row>
    <row r="36" spans="1:15" x14ac:dyDescent="0.3">
      <c r="A36">
        <v>35</v>
      </c>
      <c r="B36" t="s">
        <v>38</v>
      </c>
      <c r="C36" t="s">
        <v>365</v>
      </c>
      <c r="D36" t="s">
        <v>62</v>
      </c>
      <c r="E36" t="str">
        <f t="shared" si="0"/>
        <v xml:space="preserve">ΑΤΤΙΚΗΣ - ΒΑΡΗΣ – ΒΟΥΛΑΣ – ΒΟΥΛΙΑΓΜΕΝΗΣ, </v>
      </c>
      <c r="F36" t="s">
        <v>575</v>
      </c>
      <c r="G36">
        <v>14010</v>
      </c>
      <c r="H36" t="str">
        <f t="shared" si="1"/>
        <v>ΝΑΙ</v>
      </c>
      <c r="I36" t="str">
        <f>LOOKUP(B36,ΠΕΡΙΦΕΡΕΙΑ!$A$2:$A$14,ΠΕΡΙΦΕΡΕΙΑ!$B$2:$B$14)</f>
        <v>Μερική</v>
      </c>
      <c r="J36">
        <f t="shared" si="5"/>
        <v>35</v>
      </c>
      <c r="K36">
        <f t="shared" si="6"/>
        <v>44</v>
      </c>
      <c r="L36" t="str">
        <f t="shared" si="2"/>
        <v>ΑΤΤΙΚΗΣ</v>
      </c>
      <c r="M36" t="str">
        <f t="shared" si="3"/>
        <v>ΑΤΤΙΚΗΣ - ΖΩΓΡΑΦΟΥ</v>
      </c>
      <c r="N36">
        <f t="shared" si="4"/>
        <v>14116</v>
      </c>
      <c r="O36" t="str">
        <f t="shared" si="7"/>
        <v>Ζωγράφου</v>
      </c>
    </row>
    <row r="37" spans="1:15" x14ac:dyDescent="0.3">
      <c r="A37">
        <v>36</v>
      </c>
      <c r="B37" t="s">
        <v>38</v>
      </c>
      <c r="C37" t="s">
        <v>366</v>
      </c>
      <c r="D37" t="s">
        <v>76</v>
      </c>
      <c r="E37" t="str">
        <f t="shared" si="0"/>
        <v xml:space="preserve">ΑΤΤΙΚΗΣ - ΒΡΙΛΗΣΣΙΩΝ, </v>
      </c>
      <c r="F37" t="s">
        <v>576</v>
      </c>
      <c r="G37">
        <v>14024</v>
      </c>
      <c r="H37" t="str">
        <f t="shared" si="1"/>
        <v>ΝΑΙ</v>
      </c>
      <c r="I37" t="str">
        <f>LOOKUP(B37,ΠΕΡΙΦΕΡΕΙΑ!$A$2:$A$14,ΠΕΡΙΦΕΡΕΙΑ!$B$2:$B$14)</f>
        <v>Μερική</v>
      </c>
      <c r="J37">
        <f t="shared" si="5"/>
        <v>36</v>
      </c>
      <c r="K37">
        <f t="shared" si="6"/>
        <v>45</v>
      </c>
      <c r="L37" t="str">
        <f t="shared" si="2"/>
        <v>ΑΤΤΙΚΗΣ</v>
      </c>
      <c r="M37" t="str">
        <f t="shared" si="3"/>
        <v>ΑΤΤΙΚΗΣ - ΗΛΙΟΥΠΟΛΕΩΣ</v>
      </c>
      <c r="N37">
        <f t="shared" si="4"/>
        <v>14120</v>
      </c>
      <c r="O37" t="str">
        <f t="shared" si="7"/>
        <v>Ηλιούπολης</v>
      </c>
    </row>
    <row r="38" spans="1:15" x14ac:dyDescent="0.3">
      <c r="A38">
        <v>37</v>
      </c>
      <c r="B38" t="s">
        <v>38</v>
      </c>
      <c r="C38" t="s">
        <v>369</v>
      </c>
      <c r="D38" t="s">
        <v>99</v>
      </c>
      <c r="E38" t="str">
        <f t="shared" si="0"/>
        <v xml:space="preserve">ΑΤΤΙΚΗΣ - ΒΥΡΩΝΟΣ, </v>
      </c>
      <c r="F38" t="s">
        <v>577</v>
      </c>
      <c r="G38">
        <v>14032</v>
      </c>
      <c r="H38" t="str">
        <f t="shared" si="1"/>
        <v>ΝΑΙ</v>
      </c>
      <c r="I38" t="str">
        <f>LOOKUP(B38,ΠΕΡΙΦΕΡΕΙΑ!$A$2:$A$14,ΠΕΡΙΦΕΡΕΙΑ!$B$2:$B$14)</f>
        <v>Μερική</v>
      </c>
      <c r="J38">
        <f t="shared" si="5"/>
        <v>37</v>
      </c>
      <c r="K38">
        <f t="shared" si="6"/>
        <v>46</v>
      </c>
      <c r="L38" t="str">
        <f t="shared" si="2"/>
        <v>ΑΤΤΙΚΗΣ</v>
      </c>
      <c r="M38" t="str">
        <f t="shared" si="3"/>
        <v>ΑΤΤΙΚΗΣ - ΗΡΑΚΛΕΙΟΥ</v>
      </c>
      <c r="N38">
        <f t="shared" si="4"/>
        <v>0</v>
      </c>
      <c r="O38">
        <f t="shared" si="7"/>
        <v>0</v>
      </c>
    </row>
    <row r="39" spans="1:15" x14ac:dyDescent="0.3">
      <c r="A39">
        <v>38</v>
      </c>
      <c r="B39" t="s">
        <v>38</v>
      </c>
      <c r="C39" t="s">
        <v>369</v>
      </c>
      <c r="D39" t="s">
        <v>100</v>
      </c>
      <c r="E39" t="str">
        <f t="shared" si="0"/>
        <v xml:space="preserve">ΑΤΤΙΚΗΣ - ΓΑΛΑΤΣΙΟΥ, </v>
      </c>
      <c r="F39" t="s">
        <v>578</v>
      </c>
      <c r="G39">
        <v>14036</v>
      </c>
      <c r="H39" t="str">
        <f t="shared" si="1"/>
        <v>ΝΑΙ</v>
      </c>
      <c r="I39" t="str">
        <f>LOOKUP(B39,ΠΕΡΙΦΕΡΕΙΑ!$A$2:$A$14,ΠΕΡΙΦΕΡΕΙΑ!$B$2:$B$14)</f>
        <v>Μερική</v>
      </c>
      <c r="J39">
        <f t="shared" si="5"/>
        <v>38</v>
      </c>
      <c r="K39">
        <f t="shared" si="6"/>
        <v>47</v>
      </c>
      <c r="L39" t="str">
        <f t="shared" si="2"/>
        <v>ΑΤΤΙΚΗΣ</v>
      </c>
      <c r="M39" t="str">
        <f t="shared" si="3"/>
        <v>ΑΤΤΙΚΗΣ - ΙΛΙΟΥ</v>
      </c>
      <c r="N39">
        <f t="shared" si="4"/>
        <v>14150</v>
      </c>
      <c r="O39" t="str">
        <f t="shared" si="7"/>
        <v>Ιλίου</v>
      </c>
    </row>
    <row r="40" spans="1:15" x14ac:dyDescent="0.3">
      <c r="A40">
        <v>39</v>
      </c>
      <c r="B40" t="s">
        <v>38</v>
      </c>
      <c r="C40" t="s">
        <v>371</v>
      </c>
      <c r="D40" t="s">
        <v>116</v>
      </c>
      <c r="E40" t="str">
        <f t="shared" si="0"/>
        <v xml:space="preserve">ΑΤΤΙΚΗΣ - ΓΛΥΦΑΔΑΣ, </v>
      </c>
      <c r="F40" t="s">
        <v>579</v>
      </c>
      <c r="G40">
        <v>14040</v>
      </c>
      <c r="H40" t="str">
        <f t="shared" si="1"/>
        <v>ΝΑΙ</v>
      </c>
      <c r="I40" t="str">
        <f>LOOKUP(B40,ΠΕΡΙΦΕΡΕΙΑ!$A$2:$A$14,ΠΕΡΙΦΕΡΕΙΑ!$B$2:$B$14)</f>
        <v>Μερική</v>
      </c>
      <c r="J40">
        <f t="shared" si="5"/>
        <v>39</v>
      </c>
      <c r="K40">
        <f t="shared" si="6"/>
        <v>48</v>
      </c>
      <c r="L40" t="str">
        <f t="shared" si="2"/>
        <v>ΑΤΤΙΚΗΣ</v>
      </c>
      <c r="M40" t="str">
        <f t="shared" si="3"/>
        <v>ΑΤΤΙΚΗΣ - ΚΑΙΣΑΡΙΑΝΗΣ</v>
      </c>
      <c r="N40">
        <f t="shared" si="4"/>
        <v>14158</v>
      </c>
      <c r="O40" t="str">
        <f t="shared" si="7"/>
        <v>Καισαριανής</v>
      </c>
    </row>
    <row r="41" spans="1:15" x14ac:dyDescent="0.3">
      <c r="A41">
        <v>40</v>
      </c>
      <c r="B41" t="s">
        <v>38</v>
      </c>
      <c r="C41" t="s">
        <v>369</v>
      </c>
      <c r="D41" t="s">
        <v>101</v>
      </c>
      <c r="E41" t="str">
        <f t="shared" si="0"/>
        <v xml:space="preserve">ΑΤΤΙΚΗΣ - ΔΑΦΝΗΣ – ΥΜΗΤΤΟΥ, </v>
      </c>
      <c r="F41" t="s">
        <v>580</v>
      </c>
      <c r="G41">
        <v>14048</v>
      </c>
      <c r="H41" t="str">
        <f t="shared" si="1"/>
        <v>ΝΑΙ</v>
      </c>
      <c r="I41" t="str">
        <f>LOOKUP(B41,ΠΕΡΙΦΕΡΕΙΑ!$A$2:$A$14,ΠΕΡΙΦΕΡΕΙΑ!$B$2:$B$14)</f>
        <v>Μερική</v>
      </c>
      <c r="J41">
        <f t="shared" si="5"/>
        <v>40</v>
      </c>
      <c r="K41">
        <f t="shared" si="6"/>
        <v>49</v>
      </c>
      <c r="L41" t="str">
        <f t="shared" si="2"/>
        <v>ΑΤΤΙΚΗΣ</v>
      </c>
      <c r="M41" t="str">
        <f t="shared" si="3"/>
        <v>ΑΤΤΙΚΗΣ - ΚΑΛΛΙΘΕΑΣ</v>
      </c>
      <c r="N41">
        <f t="shared" si="4"/>
        <v>14180</v>
      </c>
      <c r="O41" t="str">
        <f t="shared" si="7"/>
        <v>Καλλιθέας</v>
      </c>
    </row>
    <row r="42" spans="1:15" x14ac:dyDescent="0.3">
      <c r="A42">
        <v>41</v>
      </c>
      <c r="B42" t="s">
        <v>38</v>
      </c>
      <c r="C42" t="s">
        <v>365</v>
      </c>
      <c r="D42" t="s">
        <v>63</v>
      </c>
      <c r="E42" t="str">
        <f t="shared" si="0"/>
        <v xml:space="preserve">ΑΤΤΙΚΗΣ - ΔΙΟΝΥΣΟΥ, </v>
      </c>
      <c r="F42" t="s">
        <v>581</v>
      </c>
      <c r="G42">
        <v>14060</v>
      </c>
      <c r="H42" t="str">
        <f t="shared" si="1"/>
        <v>ΝΑΙ</v>
      </c>
      <c r="I42" t="str">
        <f>LOOKUP(B42,ΠΕΡΙΦΕΡΕΙΑ!$A$2:$A$14,ΠΕΡΙΦΕΡΕΙΑ!$B$2:$B$14)</f>
        <v>Μερική</v>
      </c>
      <c r="J42">
        <f t="shared" si="5"/>
        <v>41</v>
      </c>
      <c r="K42">
        <f t="shared" si="6"/>
        <v>50</v>
      </c>
      <c r="L42" t="str">
        <f t="shared" si="2"/>
        <v>ΑΤΤΙΚΗΣ</v>
      </c>
      <c r="M42" t="str">
        <f t="shared" si="3"/>
        <v>ΑΤΤΙΚΗΣ - ΚΕΡΑΤΣΙΝΙΟΥ – ΔΡΑΠΕΤΣΩΝΑΣ</v>
      </c>
      <c r="N42">
        <f t="shared" si="4"/>
        <v>14164</v>
      </c>
      <c r="O42" t="str">
        <f t="shared" si="7"/>
        <v>Κερατσινίου - Δραπετσώνας</v>
      </c>
    </row>
    <row r="43" spans="1:15" x14ac:dyDescent="0.3">
      <c r="A43">
        <v>42</v>
      </c>
      <c r="B43" t="s">
        <v>38</v>
      </c>
      <c r="C43" t="s">
        <v>367</v>
      </c>
      <c r="D43" t="s">
        <v>87</v>
      </c>
      <c r="E43" t="str">
        <f t="shared" si="0"/>
        <v xml:space="preserve">ΑΤΤΙΚΗΣ - ΕΛΕΥΣΙΝΑΣ, </v>
      </c>
      <c r="F43" t="s">
        <v>582</v>
      </c>
      <c r="G43">
        <v>14084</v>
      </c>
      <c r="H43" t="str">
        <f t="shared" si="1"/>
        <v>ΝΑΙ</v>
      </c>
      <c r="I43" t="str">
        <f>LOOKUP(B43,ΠΕΡΙΦΕΡΕΙΑ!$A$2:$A$14,ΠΕΡΙΦΕΡΕΙΑ!$B$2:$B$14)</f>
        <v>Μερική</v>
      </c>
      <c r="J43">
        <f t="shared" si="5"/>
        <v>42</v>
      </c>
      <c r="K43">
        <f t="shared" si="6"/>
        <v>51</v>
      </c>
      <c r="L43" t="str">
        <f t="shared" si="2"/>
        <v>ΑΤΤΙΚΗΣ</v>
      </c>
      <c r="M43" t="str">
        <f t="shared" si="3"/>
        <v>ΑΤΤΙΚΗΣ - ΚΗΦΙΣΙΑΣ</v>
      </c>
      <c r="N43">
        <f t="shared" si="4"/>
        <v>14166</v>
      </c>
      <c r="O43" t="str">
        <f t="shared" si="7"/>
        <v>Κηφισιάς</v>
      </c>
    </row>
    <row r="44" spans="1:15" x14ac:dyDescent="0.3">
      <c r="A44">
        <v>43</v>
      </c>
      <c r="B44" t="s">
        <v>38</v>
      </c>
      <c r="C44" t="s">
        <v>371</v>
      </c>
      <c r="D44" t="s">
        <v>117</v>
      </c>
      <c r="E44" t="str">
        <f t="shared" si="0"/>
        <v xml:space="preserve">ΑΤΤΙΚΗΣ - ΕΛΛΗΝΙΚΟΥ – ΑΡΓΥΡΟΥΠΟΛΗΣ, </v>
      </c>
      <c r="F44" t="s">
        <v>583</v>
      </c>
      <c r="G44">
        <v>14086</v>
      </c>
      <c r="H44" t="str">
        <f t="shared" si="1"/>
        <v>ΝΑΙ</v>
      </c>
      <c r="I44" t="str">
        <f>LOOKUP(B44,ΠΕΡΙΦΕΡΕΙΑ!$A$2:$A$14,ΠΕΡΙΦΕΡΕΙΑ!$B$2:$B$14)</f>
        <v>Μερική</v>
      </c>
      <c r="J44">
        <f t="shared" si="5"/>
        <v>43</v>
      </c>
      <c r="K44">
        <f t="shared" si="6"/>
        <v>52</v>
      </c>
      <c r="L44" t="str">
        <f t="shared" si="2"/>
        <v>ΑΤΤΙΚΗΣ</v>
      </c>
      <c r="M44" t="str">
        <f t="shared" si="3"/>
        <v>ΑΤΤΙΚΗΣ - ΚΟΡΥΔΑΛΛΟΥ</v>
      </c>
      <c r="N44">
        <f t="shared" si="4"/>
        <v>14226</v>
      </c>
      <c r="O44" t="str">
        <f t="shared" si="7"/>
        <v>Κορυδαλλού</v>
      </c>
    </row>
    <row r="45" spans="1:15" x14ac:dyDescent="0.3">
      <c r="A45">
        <v>44</v>
      </c>
      <c r="B45" t="s">
        <v>38</v>
      </c>
      <c r="C45" t="s">
        <v>369</v>
      </c>
      <c r="D45" t="s">
        <v>102</v>
      </c>
      <c r="E45" t="str">
        <f t="shared" si="0"/>
        <v xml:space="preserve">ΑΤΤΙΚΗΣ - ΖΩΓΡΑΦΟΥ, </v>
      </c>
      <c r="F45" t="s">
        <v>584</v>
      </c>
      <c r="G45">
        <v>14116</v>
      </c>
      <c r="H45" t="str">
        <f t="shared" si="1"/>
        <v>ΝΑΙ</v>
      </c>
      <c r="I45" t="str">
        <f>LOOKUP(B45,ΠΕΡΙΦΕΡΕΙΑ!$A$2:$A$14,ΠΕΡΙΦΕΡΕΙΑ!$B$2:$B$14)</f>
        <v>Μερική</v>
      </c>
      <c r="J45">
        <f t="shared" si="5"/>
        <v>44</v>
      </c>
      <c r="K45">
        <f t="shared" si="6"/>
        <v>53</v>
      </c>
      <c r="L45" t="str">
        <f t="shared" si="2"/>
        <v>ΑΤΤΙΚΗΣ</v>
      </c>
      <c r="M45" t="str">
        <f t="shared" si="3"/>
        <v>ΑΤΤΙΚΗΣ - ΚΡΩΠΙΑΣ</v>
      </c>
      <c r="N45">
        <f t="shared" si="4"/>
        <v>14228</v>
      </c>
      <c r="O45" t="str">
        <f t="shared" si="7"/>
        <v>Κρωπίας</v>
      </c>
    </row>
    <row r="46" spans="1:15" x14ac:dyDescent="0.3">
      <c r="A46">
        <v>45</v>
      </c>
      <c r="B46" t="s">
        <v>38</v>
      </c>
      <c r="C46" t="s">
        <v>369</v>
      </c>
      <c r="D46" t="s">
        <v>103</v>
      </c>
      <c r="E46" t="str">
        <f t="shared" si="0"/>
        <v xml:space="preserve">ΑΤΤΙΚΗΣ - ΗΛΙΟΥΠΟΛΕΩΣ, </v>
      </c>
      <c r="F46" t="s">
        <v>585</v>
      </c>
      <c r="G46">
        <v>14120</v>
      </c>
      <c r="H46" t="str">
        <f t="shared" si="1"/>
        <v>ΝΑΙ</v>
      </c>
      <c r="I46" t="str">
        <f>LOOKUP(B46,ΠΕΡΙΦΕΡΕΙΑ!$A$2:$A$14,ΠΕΡΙΦΕΡΕΙΑ!$B$2:$B$14)</f>
        <v>Μερική</v>
      </c>
      <c r="J46">
        <f t="shared" si="5"/>
        <v>45</v>
      </c>
      <c r="K46">
        <f t="shared" si="6"/>
        <v>55</v>
      </c>
      <c r="L46" t="str">
        <f t="shared" si="2"/>
        <v>ΑΤΤΙΚΗΣ</v>
      </c>
      <c r="M46" t="str">
        <f t="shared" si="3"/>
        <v>ΑΤΤΙΚΗΣ - ΛΑΥΡΕΩΤΙΚΗΣ</v>
      </c>
      <c r="N46">
        <f t="shared" si="4"/>
        <v>14248</v>
      </c>
      <c r="O46" t="str">
        <f t="shared" si="7"/>
        <v>Λαυρεωτικής</v>
      </c>
    </row>
    <row r="47" spans="1:15" x14ac:dyDescent="0.3">
      <c r="A47">
        <v>46</v>
      </c>
      <c r="B47" t="s">
        <v>38</v>
      </c>
      <c r="C47" t="s">
        <v>366</v>
      </c>
      <c r="D47" t="s">
        <v>77</v>
      </c>
      <c r="E47" t="str">
        <f t="shared" si="0"/>
        <v xml:space="preserve">ΑΤΤΙΚΗΣ - ΗΡΑΚΛΕΙΟΥ, </v>
      </c>
      <c r="H47" t="str">
        <f t="shared" si="1"/>
        <v>ΝΑΙ</v>
      </c>
      <c r="I47" t="str">
        <f>LOOKUP(B47,ΠΕΡΙΦΕΡΕΙΑ!$A$2:$A$14,ΠΕΡΙΦΕΡΕΙΑ!$B$2:$B$14)</f>
        <v>Μερική</v>
      </c>
      <c r="J47">
        <f t="shared" si="5"/>
        <v>46</v>
      </c>
      <c r="K47">
        <f t="shared" si="6"/>
        <v>56</v>
      </c>
      <c r="L47" t="str">
        <f t="shared" si="2"/>
        <v>ΑΤΤΙΚΗΣ</v>
      </c>
      <c r="M47" t="str">
        <f t="shared" si="3"/>
        <v>ΑΤΤΙΚΗΣ - ΛΥΚΟΒΡΥΣΗΣ – ΠΕΥΚΗΣ</v>
      </c>
      <c r="N47">
        <f t="shared" si="4"/>
        <v>14260</v>
      </c>
      <c r="O47" t="str">
        <f t="shared" si="7"/>
        <v>Λυκόβρυσης - Πεύκης</v>
      </c>
    </row>
    <row r="48" spans="1:15" x14ac:dyDescent="0.3">
      <c r="A48">
        <v>47</v>
      </c>
      <c r="B48" t="s">
        <v>38</v>
      </c>
      <c r="C48" t="s">
        <v>368</v>
      </c>
      <c r="D48" t="s">
        <v>94</v>
      </c>
      <c r="E48" t="str">
        <f t="shared" si="0"/>
        <v xml:space="preserve">ΑΤΤΙΚΗΣ - ΙΛΙΟΥ, </v>
      </c>
      <c r="F48" t="s">
        <v>586</v>
      </c>
      <c r="G48">
        <v>14150</v>
      </c>
      <c r="H48" t="str">
        <f t="shared" si="1"/>
        <v>ΝΑΙ</v>
      </c>
      <c r="I48" t="str">
        <f>LOOKUP(B48,ΠΕΡΙΦΕΡΕΙΑ!$A$2:$A$14,ΠΕΡΙΦΕΡΕΙΑ!$B$2:$B$14)</f>
        <v>Μερική</v>
      </c>
      <c r="J48">
        <f t="shared" si="5"/>
        <v>47</v>
      </c>
      <c r="K48">
        <f t="shared" si="6"/>
        <v>57</v>
      </c>
      <c r="L48" t="str">
        <f t="shared" si="2"/>
        <v>ΑΤΤΙΚΗΣ</v>
      </c>
      <c r="M48" t="str">
        <f t="shared" si="3"/>
        <v>ΑΤΤΙΚΗΣ - ΜΑΝΔΡΑΣ – ΕΙΔΥΛΛΙΑΣ</v>
      </c>
      <c r="N48">
        <f t="shared" si="4"/>
        <v>14274</v>
      </c>
      <c r="O48" t="str">
        <f t="shared" si="7"/>
        <v>Μάνδρας - Ειδυλλίας</v>
      </c>
    </row>
    <row r="49" spans="1:15" x14ac:dyDescent="0.3">
      <c r="A49">
        <v>48</v>
      </c>
      <c r="B49" t="s">
        <v>38</v>
      </c>
      <c r="C49" t="s">
        <v>369</v>
      </c>
      <c r="D49" t="s">
        <v>104</v>
      </c>
      <c r="E49" t="str">
        <f t="shared" si="0"/>
        <v xml:space="preserve">ΑΤΤΙΚΗΣ - ΚΑΙΣΑΡΙΑΝΗΣ, </v>
      </c>
      <c r="F49" t="s">
        <v>587</v>
      </c>
      <c r="G49">
        <v>14158</v>
      </c>
      <c r="H49" t="str">
        <f t="shared" si="1"/>
        <v>ΝΑΙ</v>
      </c>
      <c r="I49" t="str">
        <f>LOOKUP(B49,ΠΕΡΙΦΕΡΕΙΑ!$A$2:$A$14,ΠΕΡΙΦΕΡΕΙΑ!$B$2:$B$14)</f>
        <v>Μερική</v>
      </c>
      <c r="J49">
        <f t="shared" si="5"/>
        <v>48</v>
      </c>
      <c r="K49">
        <f t="shared" si="6"/>
        <v>58</v>
      </c>
      <c r="L49" t="str">
        <f t="shared" si="2"/>
        <v>ΑΤΤΙΚΗΣ</v>
      </c>
      <c r="M49" t="str">
        <f t="shared" si="3"/>
        <v>ΑΤΤΙΚΗΣ - ΜΑΡΑΘΩΝΟΣ</v>
      </c>
      <c r="N49">
        <f t="shared" si="4"/>
        <v>14266</v>
      </c>
      <c r="O49" t="str">
        <f t="shared" si="7"/>
        <v>Μαραθώνος</v>
      </c>
    </row>
    <row r="50" spans="1:15" x14ac:dyDescent="0.3">
      <c r="A50">
        <v>49</v>
      </c>
      <c r="B50" t="s">
        <v>38</v>
      </c>
      <c r="C50" t="s">
        <v>371</v>
      </c>
      <c r="D50" t="s">
        <v>118</v>
      </c>
      <c r="E50" t="str">
        <f t="shared" si="0"/>
        <v xml:space="preserve">ΑΤΤΙΚΗΣ - ΚΑΛΛΙΘΕΑΣ, </v>
      </c>
      <c r="F50" t="s">
        <v>588</v>
      </c>
      <c r="G50">
        <v>14180</v>
      </c>
      <c r="H50" t="str">
        <f t="shared" si="1"/>
        <v>ΝΑΙ</v>
      </c>
      <c r="I50" t="str">
        <f>LOOKUP(B50,ΠΕΡΙΦΕΡΕΙΑ!$A$2:$A$14,ΠΕΡΙΦΕΡΕΙΑ!$B$2:$B$14)</f>
        <v>Μερική</v>
      </c>
      <c r="J50">
        <f t="shared" si="5"/>
        <v>49</v>
      </c>
      <c r="K50">
        <f t="shared" si="6"/>
        <v>59</v>
      </c>
      <c r="L50" t="str">
        <f t="shared" si="2"/>
        <v>ΑΤΤΙΚΗΣ</v>
      </c>
      <c r="M50" t="str">
        <f t="shared" si="3"/>
        <v>ΑΤΤΙΚΗΣ - ΜΑΡΚΟΠΟΥΛΟΥ ΜΕΣΟΓΑΙΑΣ</v>
      </c>
      <c r="N50">
        <f t="shared" si="4"/>
        <v>14278</v>
      </c>
      <c r="O50" t="str">
        <f t="shared" si="7"/>
        <v>Μαρκοπούλου Μεσογαίας</v>
      </c>
    </row>
    <row r="51" spans="1:15" x14ac:dyDescent="0.3">
      <c r="A51">
        <v>50</v>
      </c>
      <c r="B51" t="s">
        <v>38</v>
      </c>
      <c r="C51" t="s">
        <v>125</v>
      </c>
      <c r="D51" t="s">
        <v>122</v>
      </c>
      <c r="E51" t="str">
        <f t="shared" si="0"/>
        <v xml:space="preserve">ΑΤΤΙΚΗΣ - ΚΕΡΑΤΣΙΝΙΟΥ – ΔΡΑΠΕΤΣΩΝΑΣ, </v>
      </c>
      <c r="F51" t="s">
        <v>589</v>
      </c>
      <c r="G51">
        <v>14164</v>
      </c>
      <c r="H51" t="str">
        <f t="shared" si="1"/>
        <v>ΝΑΙ</v>
      </c>
      <c r="I51" t="str">
        <f>LOOKUP(B51,ΠΕΡΙΦΕΡΕΙΑ!$A$2:$A$14,ΠΕΡΙΦΕΡΕΙΑ!$B$2:$B$14)</f>
        <v>Μερική</v>
      </c>
      <c r="J51">
        <f t="shared" si="5"/>
        <v>50</v>
      </c>
      <c r="K51">
        <f t="shared" si="6"/>
        <v>60</v>
      </c>
      <c r="L51" t="str">
        <f t="shared" si="2"/>
        <v>ΑΤΤΙΚΗΣ</v>
      </c>
      <c r="M51" t="str">
        <f t="shared" si="3"/>
        <v>ΑΤΤΙΚΗΣ - ΜΕΓΑΡΕΩΝ</v>
      </c>
      <c r="N51">
        <f t="shared" si="4"/>
        <v>14288</v>
      </c>
      <c r="O51" t="str">
        <f t="shared" si="7"/>
        <v>Μεγαρέων</v>
      </c>
    </row>
    <row r="52" spans="1:15" x14ac:dyDescent="0.3">
      <c r="A52">
        <v>51</v>
      </c>
      <c r="B52" t="s">
        <v>38</v>
      </c>
      <c r="C52" t="s">
        <v>366</v>
      </c>
      <c r="D52" t="s">
        <v>78</v>
      </c>
      <c r="E52" t="str">
        <f t="shared" si="0"/>
        <v xml:space="preserve">ΑΤΤΙΚΗΣ - ΚΗΦΙΣΙΑΣ, </v>
      </c>
      <c r="F52" t="s">
        <v>590</v>
      </c>
      <c r="G52">
        <v>14166</v>
      </c>
      <c r="H52" t="str">
        <f t="shared" si="1"/>
        <v>ΝΑΙ</v>
      </c>
      <c r="I52" t="str">
        <f>LOOKUP(B52,ΠΕΡΙΦΕΡΕΙΑ!$A$2:$A$14,ΠΕΡΙΦΕΡΕΙΑ!$B$2:$B$14)</f>
        <v>Μερική</v>
      </c>
      <c r="J52">
        <f t="shared" si="5"/>
        <v>51</v>
      </c>
      <c r="K52">
        <f t="shared" si="6"/>
        <v>61</v>
      </c>
      <c r="L52" t="str">
        <f t="shared" si="2"/>
        <v>ΑΤΤΙΚΗΣ</v>
      </c>
      <c r="M52" t="str">
        <f t="shared" si="3"/>
        <v>ΑΤΤΙΚΗΣ - ΜΕΤΑΜΟΡΦΩΣΕΩΣ</v>
      </c>
      <c r="N52">
        <f t="shared" si="4"/>
        <v>14286</v>
      </c>
      <c r="O52" t="str">
        <f t="shared" si="7"/>
        <v>Μεταμορφώσεως</v>
      </c>
    </row>
    <row r="53" spans="1:15" x14ac:dyDescent="0.3">
      <c r="A53">
        <v>52</v>
      </c>
      <c r="B53" t="s">
        <v>38</v>
      </c>
      <c r="C53" t="s">
        <v>125</v>
      </c>
      <c r="D53" t="s">
        <v>123</v>
      </c>
      <c r="E53" t="str">
        <f t="shared" si="0"/>
        <v xml:space="preserve">ΑΤΤΙΚΗΣ - ΚΟΡΥΔΑΛΛΟΥ, </v>
      </c>
      <c r="F53" t="s">
        <v>591</v>
      </c>
      <c r="G53">
        <v>14226</v>
      </c>
      <c r="H53" t="str">
        <f t="shared" si="1"/>
        <v>ΝΑΙ</v>
      </c>
      <c r="I53" t="str">
        <f>LOOKUP(B53,ΠΕΡΙΦΕΡΕΙΑ!$A$2:$A$14,ΠΕΡΙΦΕΡΕΙΑ!$B$2:$B$14)</f>
        <v>Μερική</v>
      </c>
      <c r="J53">
        <f t="shared" si="5"/>
        <v>52</v>
      </c>
      <c r="K53">
        <f t="shared" si="6"/>
        <v>62</v>
      </c>
      <c r="L53" t="str">
        <f t="shared" si="2"/>
        <v>ΑΤΤΙΚΗΣ</v>
      </c>
      <c r="M53" t="str">
        <f t="shared" si="3"/>
        <v>ΑΤΤΙΚΗΣ - ΜΟΣΧΑΤΟΥ – ΤΑΥΡΟΥ</v>
      </c>
      <c r="N53">
        <f t="shared" si="4"/>
        <v>14300</v>
      </c>
      <c r="O53" t="str">
        <f t="shared" si="7"/>
        <v>Μοσχάτου - Ταύρου</v>
      </c>
    </row>
    <row r="54" spans="1:15" x14ac:dyDescent="0.3">
      <c r="A54">
        <v>53</v>
      </c>
      <c r="B54" t="s">
        <v>38</v>
      </c>
      <c r="C54" t="s">
        <v>365</v>
      </c>
      <c r="D54" t="s">
        <v>64</v>
      </c>
      <c r="E54" t="str">
        <f t="shared" si="0"/>
        <v xml:space="preserve">ΑΤΤΙΚΗΣ - ΚΡΩΠΙΑΣ, </v>
      </c>
      <c r="F54" t="s">
        <v>592</v>
      </c>
      <c r="G54">
        <v>14228</v>
      </c>
      <c r="H54" t="str">
        <f t="shared" si="1"/>
        <v>ΝΑΙ</v>
      </c>
      <c r="I54" t="str">
        <f>LOOKUP(B54,ΠΕΡΙΦΕΡΕΙΑ!$A$2:$A$14,ΠΕΡΙΦΕΡΕΙΑ!$B$2:$B$14)</f>
        <v>Μερική</v>
      </c>
      <c r="J54">
        <f t="shared" si="5"/>
        <v>53</v>
      </c>
      <c r="K54">
        <f t="shared" si="6"/>
        <v>63</v>
      </c>
      <c r="L54" t="str">
        <f t="shared" si="2"/>
        <v>ΑΤΤΙΚΗΣ</v>
      </c>
      <c r="M54" t="str">
        <f t="shared" si="3"/>
        <v>ΑΤΤΙΚΗΣ - ΝΕΑΣ ΙΩΝΙΑΣ</v>
      </c>
      <c r="N54">
        <f t="shared" si="4"/>
        <v>14316</v>
      </c>
      <c r="O54" t="str">
        <f t="shared" si="7"/>
        <v>Νέας Ιωνίας</v>
      </c>
    </row>
    <row r="55" spans="1:15" x14ac:dyDescent="0.3">
      <c r="A55">
        <v>54</v>
      </c>
      <c r="B55" t="s">
        <v>38</v>
      </c>
      <c r="C55" t="s">
        <v>370</v>
      </c>
      <c r="D55" t="s">
        <v>108</v>
      </c>
      <c r="E55" t="str">
        <f t="shared" si="0"/>
        <v xml:space="preserve">ΑΤΤΙΚΗΣ - ΚΥΘΗΡΩΝ, </v>
      </c>
      <c r="F55" t="s">
        <v>593</v>
      </c>
      <c r="G55">
        <v>14230</v>
      </c>
      <c r="H55" t="str">
        <f t="shared" si="1"/>
        <v/>
      </c>
      <c r="I55" t="str">
        <f>LOOKUP(B55,ΠΕΡΙΦΕΡΕΙΑ!$A$2:$A$14,ΠΕΡΙΦΕΡΕΙΑ!$B$2:$B$14)</f>
        <v>Μερική</v>
      </c>
      <c r="J55" t="str">
        <f t="shared" si="5"/>
        <v/>
      </c>
      <c r="K55">
        <f t="shared" si="6"/>
        <v>64</v>
      </c>
      <c r="L55" t="str">
        <f t="shared" si="2"/>
        <v>ΑΤΤΙΚΗΣ</v>
      </c>
      <c r="M55" t="str">
        <f t="shared" si="3"/>
        <v>ΑΤΤΙΚΗΣ - ΝΕΑΣ ΣΜΥΡΝΗΣ</v>
      </c>
      <c r="N55">
        <f t="shared" si="4"/>
        <v>14320</v>
      </c>
      <c r="O55" t="str">
        <f t="shared" si="7"/>
        <v>Νέας Σμύρνης</v>
      </c>
    </row>
    <row r="56" spans="1:15" x14ac:dyDescent="0.3">
      <c r="A56">
        <v>55</v>
      </c>
      <c r="B56" t="s">
        <v>38</v>
      </c>
      <c r="C56" t="s">
        <v>365</v>
      </c>
      <c r="D56" t="s">
        <v>65</v>
      </c>
      <c r="E56" t="str">
        <f t="shared" si="0"/>
        <v xml:space="preserve">ΑΤΤΙΚΗΣ - ΛΑΥΡΕΩΤΙΚΗΣ, </v>
      </c>
      <c r="F56" t="s">
        <v>594</v>
      </c>
      <c r="G56">
        <v>14248</v>
      </c>
      <c r="H56" t="str">
        <f t="shared" si="1"/>
        <v>ΝΑΙ</v>
      </c>
      <c r="I56" t="str">
        <f>LOOKUP(B56,ΠΕΡΙΦΕΡΕΙΑ!$A$2:$A$14,ΠΕΡΙΦΕΡΕΙΑ!$B$2:$B$14)</f>
        <v>Μερική</v>
      </c>
      <c r="J56">
        <f t="shared" si="5"/>
        <v>55</v>
      </c>
      <c r="K56">
        <f t="shared" si="6"/>
        <v>65</v>
      </c>
      <c r="L56" t="str">
        <f t="shared" si="2"/>
        <v>ΑΤΤΙΚΗΣ</v>
      </c>
      <c r="M56" t="str">
        <f t="shared" si="3"/>
        <v>ΑΤΤΙΚΗΣ - ΝΙΚΑΙΑΣ – ΑΓΙΟΥ ΙΩΑΝΝΗ ΡΕΝΤΗ</v>
      </c>
      <c r="N56">
        <f t="shared" si="4"/>
        <v>14338</v>
      </c>
      <c r="O56" t="str">
        <f t="shared" si="7"/>
        <v>Νίκαιας - Αγίου Ι. Ρέντη</v>
      </c>
    </row>
    <row r="57" spans="1:15" x14ac:dyDescent="0.3">
      <c r="A57">
        <v>56</v>
      </c>
      <c r="B57" t="s">
        <v>38</v>
      </c>
      <c r="C57" t="s">
        <v>366</v>
      </c>
      <c r="D57" t="s">
        <v>79</v>
      </c>
      <c r="E57" t="str">
        <f t="shared" si="0"/>
        <v xml:space="preserve">ΑΤΤΙΚΗΣ - ΛΥΚΟΒΡΥΣΗΣ – ΠΕΥΚΗΣ, </v>
      </c>
      <c r="F57" t="s">
        <v>595</v>
      </c>
      <c r="G57">
        <v>14260</v>
      </c>
      <c r="H57" t="str">
        <f t="shared" si="1"/>
        <v>ΝΑΙ</v>
      </c>
      <c r="I57" t="str">
        <f>LOOKUP(B57,ΠΕΡΙΦΕΡΕΙΑ!$A$2:$A$14,ΠΕΡΙΦΕΡΕΙΑ!$B$2:$B$14)</f>
        <v>Μερική</v>
      </c>
      <c r="J57">
        <f t="shared" si="5"/>
        <v>56</v>
      </c>
      <c r="K57">
        <f t="shared" si="6"/>
        <v>66</v>
      </c>
      <c r="L57" t="str">
        <f t="shared" si="2"/>
        <v>ΑΤΤΙΚΗΣ</v>
      </c>
      <c r="M57" t="str">
        <f t="shared" si="3"/>
        <v>ΑΤΤΙΚΗΣ - ΠΑΙΑΝΙΑΣ</v>
      </c>
      <c r="N57">
        <f t="shared" si="4"/>
        <v>14362</v>
      </c>
      <c r="O57" t="str">
        <f t="shared" si="7"/>
        <v>Παιανίας</v>
      </c>
    </row>
    <row r="58" spans="1:15" x14ac:dyDescent="0.3">
      <c r="A58">
        <v>57</v>
      </c>
      <c r="B58" t="s">
        <v>38</v>
      </c>
      <c r="C58" t="s">
        <v>367</v>
      </c>
      <c r="D58" t="s">
        <v>88</v>
      </c>
      <c r="E58" t="str">
        <f t="shared" si="0"/>
        <v xml:space="preserve">ΑΤΤΙΚΗΣ - ΜΑΝΔΡΑΣ – ΕΙΔΥΛΛΙΑΣ, </v>
      </c>
      <c r="F58" t="s">
        <v>596</v>
      </c>
      <c r="G58">
        <v>14274</v>
      </c>
      <c r="H58" t="str">
        <f t="shared" si="1"/>
        <v>ΝΑΙ</v>
      </c>
      <c r="I58" t="str">
        <f>LOOKUP(B58,ΠΕΡΙΦΕΡΕΙΑ!$A$2:$A$14,ΠΕΡΙΦΕΡΕΙΑ!$B$2:$B$14)</f>
        <v>Μερική</v>
      </c>
      <c r="J58">
        <f t="shared" si="5"/>
        <v>57</v>
      </c>
      <c r="K58">
        <f t="shared" si="6"/>
        <v>67</v>
      </c>
      <c r="L58" t="str">
        <f t="shared" si="2"/>
        <v>ΑΤΤΙΚΗΣ</v>
      </c>
      <c r="M58" t="str">
        <f t="shared" si="3"/>
        <v>ΑΤΤΙΚΗΣ - ΠΑΛΑΙΟΥ ΦΑΛΗΡΟΥ</v>
      </c>
      <c r="N58">
        <f t="shared" si="4"/>
        <v>14386</v>
      </c>
      <c r="O58" t="str">
        <f t="shared" si="7"/>
        <v>Παλαιού Φαλήρου</v>
      </c>
    </row>
    <row r="59" spans="1:15" x14ac:dyDescent="0.3">
      <c r="A59">
        <v>58</v>
      </c>
      <c r="B59" t="s">
        <v>38</v>
      </c>
      <c r="C59" t="s">
        <v>365</v>
      </c>
      <c r="D59" t="s">
        <v>66</v>
      </c>
      <c r="E59" t="str">
        <f t="shared" si="0"/>
        <v xml:space="preserve">ΑΤΤΙΚΗΣ - ΜΑΡΑΘΩΝΟΣ, </v>
      </c>
      <c r="F59" t="s">
        <v>597</v>
      </c>
      <c r="G59">
        <v>14266</v>
      </c>
      <c r="H59" t="str">
        <f t="shared" si="1"/>
        <v>ΝΑΙ</v>
      </c>
      <c r="I59" t="str">
        <f>LOOKUP(B59,ΠΕΡΙΦΕΡΕΙΑ!$A$2:$A$14,ΠΕΡΙΦΕΡΕΙΑ!$B$2:$B$14)</f>
        <v>Μερική</v>
      </c>
      <c r="J59">
        <f t="shared" si="5"/>
        <v>58</v>
      </c>
      <c r="K59">
        <f t="shared" si="6"/>
        <v>68</v>
      </c>
      <c r="L59" t="str">
        <f t="shared" si="2"/>
        <v>ΑΤΤΙΚΗΣ</v>
      </c>
      <c r="M59" t="str">
        <f t="shared" si="3"/>
        <v>ΑΤΤΙΚΗΣ - ΠΑΛΛΗΝΗΣ</v>
      </c>
      <c r="N59">
        <f t="shared" si="4"/>
        <v>14390</v>
      </c>
      <c r="O59" t="str">
        <f t="shared" si="7"/>
        <v>Παλλήνης</v>
      </c>
    </row>
    <row r="60" spans="1:15" x14ac:dyDescent="0.3">
      <c r="A60">
        <v>59</v>
      </c>
      <c r="B60" t="s">
        <v>38</v>
      </c>
      <c r="C60" t="s">
        <v>365</v>
      </c>
      <c r="D60" t="s">
        <v>67</v>
      </c>
      <c r="E60" t="str">
        <f t="shared" si="0"/>
        <v xml:space="preserve">ΑΤΤΙΚΗΣ - ΜΑΡΚΟΠΟΥΛΟΥ ΜΕΣΟΓΑΙΑΣ, </v>
      </c>
      <c r="F60" t="s">
        <v>598</v>
      </c>
      <c r="G60">
        <v>14278</v>
      </c>
      <c r="H60" t="str">
        <f t="shared" si="1"/>
        <v>ΝΑΙ</v>
      </c>
      <c r="I60" t="str">
        <f>LOOKUP(B60,ΠΕΡΙΦΕΡΕΙΑ!$A$2:$A$14,ΠΕΡΙΦΕΡΕΙΑ!$B$2:$B$14)</f>
        <v>Μερική</v>
      </c>
      <c r="J60">
        <f t="shared" si="5"/>
        <v>59</v>
      </c>
      <c r="K60">
        <f t="shared" si="6"/>
        <v>69</v>
      </c>
      <c r="L60" t="str">
        <f t="shared" si="2"/>
        <v>ΑΤΤΙΚΗΣ</v>
      </c>
      <c r="M60" t="str">
        <f t="shared" si="3"/>
        <v>ΑΤΤΙΚΗΣ - ΠΑΠΑΓΟΥ – ΧΟΛΑΡΓΟΥ</v>
      </c>
      <c r="N60">
        <f t="shared" si="4"/>
        <v>14394</v>
      </c>
      <c r="O60" t="str">
        <f t="shared" si="7"/>
        <v>Παπάγου - Χολαργού</v>
      </c>
    </row>
    <row r="61" spans="1:15" x14ac:dyDescent="0.3">
      <c r="A61">
        <v>60</v>
      </c>
      <c r="B61" t="s">
        <v>38</v>
      </c>
      <c r="C61" t="s">
        <v>367</v>
      </c>
      <c r="D61" t="s">
        <v>89</v>
      </c>
      <c r="E61" t="str">
        <f t="shared" si="0"/>
        <v xml:space="preserve">ΑΤΤΙΚΗΣ - ΜΕΓΑΡΕΩΝ, </v>
      </c>
      <c r="F61" t="s">
        <v>599</v>
      </c>
      <c r="G61">
        <v>14288</v>
      </c>
      <c r="H61" t="str">
        <f t="shared" si="1"/>
        <v>ΝΑΙ</v>
      </c>
      <c r="I61" t="str">
        <f>LOOKUP(B61,ΠΕΡΙΦΕΡΕΙΑ!$A$2:$A$14,ΠΕΡΙΦΕΡΕΙΑ!$B$2:$B$14)</f>
        <v>Μερική</v>
      </c>
      <c r="J61">
        <f t="shared" si="5"/>
        <v>60</v>
      </c>
      <c r="K61">
        <f t="shared" si="6"/>
        <v>70</v>
      </c>
      <c r="L61" t="str">
        <f t="shared" si="2"/>
        <v>ΑΤΤΙΚΗΣ</v>
      </c>
      <c r="M61" t="str">
        <f t="shared" si="3"/>
        <v>ΑΤΤΙΚΗΣ - ΠΕΙΡΑΙΩΣ</v>
      </c>
      <c r="N61">
        <f t="shared" si="4"/>
        <v>14402</v>
      </c>
      <c r="O61" t="str">
        <f t="shared" si="7"/>
        <v>Πειραιώς</v>
      </c>
    </row>
    <row r="62" spans="1:15" x14ac:dyDescent="0.3">
      <c r="A62">
        <v>61</v>
      </c>
      <c r="B62" t="s">
        <v>38</v>
      </c>
      <c r="C62" t="s">
        <v>366</v>
      </c>
      <c r="D62" t="s">
        <v>80</v>
      </c>
      <c r="E62" t="str">
        <f t="shared" si="0"/>
        <v xml:space="preserve">ΑΤΤΙΚΗΣ - ΜΕΤΑΜΟΡΦΩΣΕΩΣ, </v>
      </c>
      <c r="F62" t="s">
        <v>600</v>
      </c>
      <c r="G62">
        <v>14286</v>
      </c>
      <c r="H62" t="str">
        <f t="shared" si="1"/>
        <v>ΝΑΙ</v>
      </c>
      <c r="I62" t="str">
        <f>LOOKUP(B62,ΠΕΡΙΦΕΡΕΙΑ!$A$2:$A$14,ΠΕΡΙΦΕΡΕΙΑ!$B$2:$B$14)</f>
        <v>Μερική</v>
      </c>
      <c r="J62">
        <f t="shared" si="5"/>
        <v>61</v>
      </c>
      <c r="K62">
        <f t="shared" si="6"/>
        <v>71</v>
      </c>
      <c r="L62" t="str">
        <f t="shared" si="2"/>
        <v>ΑΤΤΙΚΗΣ</v>
      </c>
      <c r="M62" t="str">
        <f t="shared" si="3"/>
        <v>ΑΤΤΙΚΗΣ - ΠΕΝΤΕΛΗΣ</v>
      </c>
      <c r="N62">
        <f t="shared" si="4"/>
        <v>14404</v>
      </c>
      <c r="O62" t="str">
        <f t="shared" si="7"/>
        <v>Πεντέλης</v>
      </c>
    </row>
    <row r="63" spans="1:15" x14ac:dyDescent="0.3">
      <c r="A63">
        <v>62</v>
      </c>
      <c r="B63" t="s">
        <v>38</v>
      </c>
      <c r="C63" t="s">
        <v>371</v>
      </c>
      <c r="D63" t="s">
        <v>119</v>
      </c>
      <c r="E63" t="str">
        <f t="shared" si="0"/>
        <v xml:space="preserve">ΑΤΤΙΚΗΣ - ΜΟΣΧΑΤΟΥ – ΤΑΥΡΟΥ, </v>
      </c>
      <c r="F63" t="s">
        <v>601</v>
      </c>
      <c r="G63">
        <v>14300</v>
      </c>
      <c r="H63" t="str">
        <f t="shared" si="1"/>
        <v>ΝΑΙ</v>
      </c>
      <c r="I63" t="str">
        <f>LOOKUP(B63,ΠΕΡΙΦΕΡΕΙΑ!$A$2:$A$14,ΠΕΡΙΦΕΡΕΙΑ!$B$2:$B$14)</f>
        <v>Μερική</v>
      </c>
      <c r="J63">
        <f t="shared" si="5"/>
        <v>62</v>
      </c>
      <c r="K63">
        <f t="shared" si="6"/>
        <v>72</v>
      </c>
      <c r="L63" t="str">
        <f t="shared" si="2"/>
        <v>ΑΤΤΙΚΗΣ</v>
      </c>
      <c r="M63" t="str">
        <f t="shared" si="3"/>
        <v>ΑΤΤΙΚΗΣ - ΠΕΡΑΜΑΤΟΣ</v>
      </c>
      <c r="N63">
        <f t="shared" si="4"/>
        <v>14370</v>
      </c>
      <c r="O63" t="str">
        <f t="shared" si="7"/>
        <v>Περάματος</v>
      </c>
    </row>
    <row r="64" spans="1:15" x14ac:dyDescent="0.3">
      <c r="A64">
        <v>63</v>
      </c>
      <c r="B64" t="s">
        <v>38</v>
      </c>
      <c r="C64" t="s">
        <v>366</v>
      </c>
      <c r="D64" t="s">
        <v>81</v>
      </c>
      <c r="E64" t="str">
        <f t="shared" si="0"/>
        <v xml:space="preserve">ΑΤΤΙΚΗΣ - ΝΕΑΣ ΙΩΝΙΑΣ, </v>
      </c>
      <c r="F64" t="s">
        <v>602</v>
      </c>
      <c r="G64">
        <v>14316</v>
      </c>
      <c r="H64" t="str">
        <f t="shared" si="1"/>
        <v>ΝΑΙ</v>
      </c>
      <c r="I64" t="str">
        <f>LOOKUP(B64,ΠΕΡΙΦΕΡΕΙΑ!$A$2:$A$14,ΠΕΡΙΦΕΡΕΙΑ!$B$2:$B$14)</f>
        <v>Μερική</v>
      </c>
      <c r="J64">
        <f t="shared" si="5"/>
        <v>63</v>
      </c>
      <c r="K64">
        <f t="shared" si="6"/>
        <v>73</v>
      </c>
      <c r="L64" t="str">
        <f t="shared" si="2"/>
        <v>ΑΤΤΙΚΗΣ</v>
      </c>
      <c r="M64" t="str">
        <f t="shared" si="3"/>
        <v>ΑΤΤΙΚΗΣ - ΠΕΡΙΣΤΕΡΙΟΥ</v>
      </c>
      <c r="N64">
        <f t="shared" si="4"/>
        <v>14406</v>
      </c>
      <c r="O64" t="str">
        <f t="shared" si="7"/>
        <v>Περιστερίου</v>
      </c>
    </row>
    <row r="65" spans="1:15" x14ac:dyDescent="0.3">
      <c r="A65">
        <v>64</v>
      </c>
      <c r="B65" t="s">
        <v>38</v>
      </c>
      <c r="C65" t="s">
        <v>371</v>
      </c>
      <c r="D65" t="s">
        <v>120</v>
      </c>
      <c r="E65" t="str">
        <f t="shared" si="0"/>
        <v xml:space="preserve">ΑΤΤΙΚΗΣ - ΝΕΑΣ ΣΜΥΡΝΗΣ, </v>
      </c>
      <c r="F65" t="s">
        <v>603</v>
      </c>
      <c r="G65">
        <v>14320</v>
      </c>
      <c r="H65" t="str">
        <f t="shared" si="1"/>
        <v>ΝΑΙ</v>
      </c>
      <c r="I65" t="str">
        <f>LOOKUP(B65,ΠΕΡΙΦΕΡΕΙΑ!$A$2:$A$14,ΠΕΡΙΦΕΡΕΙΑ!$B$2:$B$14)</f>
        <v>Μερική</v>
      </c>
      <c r="J65">
        <f t="shared" si="5"/>
        <v>64</v>
      </c>
      <c r="K65">
        <f t="shared" si="6"/>
        <v>74</v>
      </c>
      <c r="L65" t="str">
        <f t="shared" si="2"/>
        <v>ΑΤΤΙΚΗΣ</v>
      </c>
      <c r="M65" t="str">
        <f t="shared" si="3"/>
        <v>ΑΤΤΙΚΗΣ - ΠΕΤΡΟΥΠΟΛΕΩΣ</v>
      </c>
      <c r="N65">
        <f t="shared" si="4"/>
        <v>14408</v>
      </c>
      <c r="O65" t="str">
        <f t="shared" si="7"/>
        <v>Πετρούπολης</v>
      </c>
    </row>
    <row r="66" spans="1:15" x14ac:dyDescent="0.3">
      <c r="A66">
        <v>65</v>
      </c>
      <c r="B66" t="s">
        <v>38</v>
      </c>
      <c r="C66" t="s">
        <v>125</v>
      </c>
      <c r="D66" t="s">
        <v>124</v>
      </c>
      <c r="E66" t="str">
        <f t="shared" ref="E66:E129" si="8">B66&amp;" - "&amp;D66&amp;", "</f>
        <v xml:space="preserve">ΑΤΤΙΚΗΣ - ΝΙΚΑΙΑΣ – ΑΓΙΟΥ ΙΩΑΝΝΗ ΡΕΝΤΗ, </v>
      </c>
      <c r="F66" t="s">
        <v>604</v>
      </c>
      <c r="G66">
        <v>14338</v>
      </c>
      <c r="H66" t="str">
        <f t="shared" ref="H66:H129" si="9">_xlfn.IFNA(INDEX(DimosNaiOxi,MATCH(E66,DimosNai,0)),"")</f>
        <v>ΝΑΙ</v>
      </c>
      <c r="I66" t="str">
        <f>LOOKUP(B66,ΠΕΡΙΦΕΡΕΙΑ!$A$2:$A$14,ΠΕΡΙΦΕΡΕΙΑ!$B$2:$B$14)</f>
        <v>Μερική</v>
      </c>
      <c r="J66">
        <f t="shared" si="5"/>
        <v>65</v>
      </c>
      <c r="K66">
        <f t="shared" si="6"/>
        <v>76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ΡΑΦΗΝΑΣ – ΠΙΚΕΡΜΙΟΥ</v>
      </c>
      <c r="N66">
        <f t="shared" si="4"/>
        <v>14380</v>
      </c>
      <c r="O66" t="str">
        <f t="shared" si="7"/>
        <v>Ραφήνας - Πικερμίου</v>
      </c>
    </row>
    <row r="67" spans="1:15" x14ac:dyDescent="0.3">
      <c r="A67">
        <v>66</v>
      </c>
      <c r="B67" t="s">
        <v>38</v>
      </c>
      <c r="C67" t="s">
        <v>365</v>
      </c>
      <c r="D67" t="s">
        <v>68</v>
      </c>
      <c r="E67" t="str">
        <f t="shared" si="8"/>
        <v xml:space="preserve">ΑΤΤΙΚΗΣ - ΠΑΙΑΝΙΑΣ, </v>
      </c>
      <c r="F67" t="s">
        <v>605</v>
      </c>
      <c r="G67">
        <v>14362</v>
      </c>
      <c r="H67" t="str">
        <f t="shared" si="9"/>
        <v>ΝΑΙ</v>
      </c>
      <c r="I67" t="str">
        <f>LOOKUP(B67,ΠΕΡΙΦΕΡΕΙΑ!$A$2:$A$14,ΠΕΡΙΦΕΡΕΙΑ!$B$2:$B$14)</f>
        <v>Μερική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77</v>
      </c>
      <c r="L67" t="str">
        <f t="shared" si="10"/>
        <v>ΑΤΤΙΚΗΣ</v>
      </c>
      <c r="M67" t="str">
        <f t="shared" si="11"/>
        <v>ΑΤΤΙΚΗΣ - ΣΑΛΑΜΙΝΟΣ</v>
      </c>
      <c r="N67">
        <f t="shared" ref="N67:N130" si="14">IF(ISNUMBER(K67),LOOKUP(K67,A:A,G:G),"")</f>
        <v>14430</v>
      </c>
      <c r="O67" t="str">
        <f t="shared" ref="O67:O130" si="15">IF(ISNUMBER(K67),LOOKUP(K67,A:A,F:F),"")</f>
        <v>Σαλαμίνας</v>
      </c>
    </row>
    <row r="68" spans="1:15" x14ac:dyDescent="0.3">
      <c r="A68">
        <v>67</v>
      </c>
      <c r="B68" t="s">
        <v>38</v>
      </c>
      <c r="C68" t="s">
        <v>371</v>
      </c>
      <c r="D68" t="s">
        <v>121</v>
      </c>
      <c r="E68" t="str">
        <f t="shared" si="8"/>
        <v xml:space="preserve">ΑΤΤΙΚΗΣ - ΠΑΛΑΙΟΥ ΦΑΛΗΡΟΥ, </v>
      </c>
      <c r="F68" t="s">
        <v>606</v>
      </c>
      <c r="G68">
        <v>14386</v>
      </c>
      <c r="H68" t="str">
        <f t="shared" si="9"/>
        <v>ΝΑΙ</v>
      </c>
      <c r="I68" t="str">
        <f>LOOKUP(B68,ΠΕΡΙΦΕΡΕΙΑ!$A$2:$A$14,ΠΕΡΙΦΕΡΕΙΑ!$B$2:$B$14)</f>
        <v>Μερική</v>
      </c>
      <c r="J68">
        <f t="shared" si="12"/>
        <v>67</v>
      </c>
      <c r="K68">
        <f t="shared" si="13"/>
        <v>78</v>
      </c>
      <c r="L68" t="str">
        <f t="shared" si="10"/>
        <v>ΑΤΤΙΚΗΣ</v>
      </c>
      <c r="M68" t="str">
        <f t="shared" si="11"/>
        <v>ΑΤΤΙΚΗΣ - ΣΑΡΩΝΙΚΟΥ</v>
      </c>
      <c r="N68">
        <f t="shared" si="14"/>
        <v>14448</v>
      </c>
      <c r="O68" t="str">
        <f t="shared" si="15"/>
        <v>Σαρωνικού</v>
      </c>
    </row>
    <row r="69" spans="1:15" x14ac:dyDescent="0.3">
      <c r="A69">
        <v>68</v>
      </c>
      <c r="B69" t="s">
        <v>38</v>
      </c>
      <c r="C69" t="s">
        <v>365</v>
      </c>
      <c r="D69" t="s">
        <v>69</v>
      </c>
      <c r="E69" t="str">
        <f t="shared" si="8"/>
        <v xml:space="preserve">ΑΤΤΙΚΗΣ - ΠΑΛΛΗΝΗΣ, </v>
      </c>
      <c r="F69" t="s">
        <v>607</v>
      </c>
      <c r="G69">
        <v>14390</v>
      </c>
      <c r="H69" t="str">
        <f t="shared" si="9"/>
        <v>ΝΑΙ</v>
      </c>
      <c r="I69" t="str">
        <f>LOOKUP(B69,ΠΕΡΙΦΕΡΕΙΑ!$A$2:$A$14,ΠΕΡΙΦΕΡΕΙΑ!$B$2:$B$14)</f>
        <v>Μερική</v>
      </c>
      <c r="J69">
        <f t="shared" si="12"/>
        <v>68</v>
      </c>
      <c r="K69">
        <f t="shared" si="13"/>
        <v>79</v>
      </c>
      <c r="L69" t="str">
        <f t="shared" si="10"/>
        <v>ΑΤΤΙΚΗΣ</v>
      </c>
      <c r="M69" t="str">
        <f t="shared" si="11"/>
        <v>ΑΤΤΙΚΗΣ - ΣΠΑΤΩΝ – ΑΡΤΕΜΙΔΟΣ</v>
      </c>
      <c r="N69">
        <f t="shared" si="14"/>
        <v>14480</v>
      </c>
      <c r="O69" t="str">
        <f t="shared" si="15"/>
        <v>Σπάτων - Αρτέμιδος</v>
      </c>
    </row>
    <row r="70" spans="1:15" x14ac:dyDescent="0.3">
      <c r="A70">
        <v>69</v>
      </c>
      <c r="B70" t="s">
        <v>38</v>
      </c>
      <c r="C70" t="s">
        <v>366</v>
      </c>
      <c r="D70" t="s">
        <v>82</v>
      </c>
      <c r="E70" t="str">
        <f t="shared" si="8"/>
        <v xml:space="preserve">ΑΤΤΙΚΗΣ - ΠΑΠΑΓΟΥ – ΧΟΛΑΡΓΟΥ, </v>
      </c>
      <c r="F70" t="s">
        <v>608</v>
      </c>
      <c r="G70">
        <v>14394</v>
      </c>
      <c r="H70" t="str">
        <f t="shared" si="9"/>
        <v>ΝΑΙ</v>
      </c>
      <c r="I70" t="str">
        <f>LOOKUP(B70,ΠΕΡΙΦΕΡΕΙΑ!$A$2:$A$14,ΠΕΡΙΦΕΡΕΙΑ!$B$2:$B$14)</f>
        <v>Μερική</v>
      </c>
      <c r="J70">
        <f t="shared" si="12"/>
        <v>69</v>
      </c>
      <c r="K70">
        <f t="shared" si="13"/>
        <v>81</v>
      </c>
      <c r="L70" t="str">
        <f t="shared" si="10"/>
        <v>ΑΤΤΙΚΗΣ</v>
      </c>
      <c r="M70" t="str">
        <f t="shared" si="11"/>
        <v>ΑΤΤΙΚΗΣ - ΤΡΟΙΖΗΝΙΑΣ</v>
      </c>
      <c r="N70">
        <f t="shared" si="14"/>
        <v>14502</v>
      </c>
      <c r="O70" t="str">
        <f t="shared" si="15"/>
        <v>Τροιζηνίας</v>
      </c>
    </row>
    <row r="71" spans="1:15" x14ac:dyDescent="0.3">
      <c r="A71">
        <v>70</v>
      </c>
      <c r="B71" t="s">
        <v>38</v>
      </c>
      <c r="C71" t="s">
        <v>125</v>
      </c>
      <c r="D71" t="s">
        <v>125</v>
      </c>
      <c r="E71" t="str">
        <f t="shared" si="8"/>
        <v xml:space="preserve">ΑΤΤΙΚΗΣ - ΠΕΙΡΑΙΩΣ, </v>
      </c>
      <c r="F71" t="s">
        <v>609</v>
      </c>
      <c r="G71">
        <v>14402</v>
      </c>
      <c r="H71" t="str">
        <f t="shared" si="9"/>
        <v>ΝΑΙ</v>
      </c>
      <c r="I71" t="str">
        <f>LOOKUP(B71,ΠΕΡΙΦΕΡΕΙΑ!$A$2:$A$14,ΠΕΡΙΦΕΡΕΙΑ!$B$2:$B$14)</f>
        <v>Μερική</v>
      </c>
      <c r="J71">
        <f t="shared" si="12"/>
        <v>70</v>
      </c>
      <c r="K71">
        <f t="shared" si="13"/>
        <v>82</v>
      </c>
      <c r="L71" t="str">
        <f t="shared" si="10"/>
        <v>ΑΤΤΙΚΗΣ</v>
      </c>
      <c r="M71" t="str">
        <f t="shared" si="11"/>
        <v>ΑΤΤΙΚΗΣ - ΥΔΡΑΣ</v>
      </c>
      <c r="N71">
        <f t="shared" si="14"/>
        <v>14508</v>
      </c>
      <c r="O71" t="str">
        <f t="shared" si="15"/>
        <v>Ύδρας</v>
      </c>
    </row>
    <row r="72" spans="1:15" x14ac:dyDescent="0.3">
      <c r="A72">
        <v>71</v>
      </c>
      <c r="B72" t="s">
        <v>38</v>
      </c>
      <c r="C72" t="s">
        <v>366</v>
      </c>
      <c r="D72" t="s">
        <v>83</v>
      </c>
      <c r="E72" t="str">
        <f t="shared" si="8"/>
        <v xml:space="preserve">ΑΤΤΙΚΗΣ - ΠΕΝΤΕΛΗΣ, </v>
      </c>
      <c r="F72" t="s">
        <v>610</v>
      </c>
      <c r="G72">
        <v>14404</v>
      </c>
      <c r="H72" t="str">
        <f t="shared" si="9"/>
        <v>ΝΑΙ</v>
      </c>
      <c r="I72" t="str">
        <f>LOOKUP(B72,ΠΕΡΙΦΕΡΕΙΑ!$A$2:$A$14,ΠΕΡΙΦΕΡΕΙΑ!$B$2:$B$14)</f>
        <v>Μερική</v>
      </c>
      <c r="J72">
        <f t="shared" si="12"/>
        <v>71</v>
      </c>
      <c r="K72">
        <f t="shared" si="13"/>
        <v>83</v>
      </c>
      <c r="L72" t="str">
        <f t="shared" si="10"/>
        <v>ΑΤΤΙΚΗΣ</v>
      </c>
      <c r="M72" t="str">
        <f t="shared" si="11"/>
        <v>ΑΤΤΙΚΗΣ - ΦΙΛΑΔΕΛΦΕΙΑΣ – ΧΑΛΚΗΔΟΝΟΣ</v>
      </c>
      <c r="N72">
        <f t="shared" si="14"/>
        <v>14514</v>
      </c>
      <c r="O72" t="str">
        <f t="shared" si="15"/>
        <v>Φιλαδελφείας - Χαλκηδόνος</v>
      </c>
    </row>
    <row r="73" spans="1:15" x14ac:dyDescent="0.3">
      <c r="A73">
        <v>72</v>
      </c>
      <c r="B73" t="s">
        <v>38</v>
      </c>
      <c r="C73" t="s">
        <v>125</v>
      </c>
      <c r="D73" t="s">
        <v>126</v>
      </c>
      <c r="E73" t="str">
        <f t="shared" si="8"/>
        <v xml:space="preserve">ΑΤΤΙΚΗΣ - ΠΕΡΑΜΑΤΟΣ, </v>
      </c>
      <c r="F73" t="s">
        <v>611</v>
      </c>
      <c r="G73">
        <v>14370</v>
      </c>
      <c r="H73" t="str">
        <f t="shared" si="9"/>
        <v>ΝΑΙ</v>
      </c>
      <c r="I73" t="str">
        <f>LOOKUP(B73,ΠΕΡΙΦΕΡΕΙΑ!$A$2:$A$14,ΠΕΡΙΦΕΡΕΙΑ!$B$2:$B$14)</f>
        <v>Μερική</v>
      </c>
      <c r="J73">
        <f t="shared" si="12"/>
        <v>72</v>
      </c>
      <c r="K73">
        <f t="shared" si="13"/>
        <v>84</v>
      </c>
      <c r="L73" t="str">
        <f t="shared" si="10"/>
        <v>ΑΤΤΙΚΗΣ</v>
      </c>
      <c r="M73" t="str">
        <f t="shared" si="11"/>
        <v>ΑΤΤΙΚΗΣ - ΦΙΛΟΘΕΗΣ – ΨΥΧΙΚΟΥ</v>
      </c>
      <c r="N73">
        <f t="shared" si="14"/>
        <v>14518</v>
      </c>
      <c r="O73" t="str">
        <f t="shared" si="15"/>
        <v>Φιλοθέης - Ψυχικού</v>
      </c>
    </row>
    <row r="74" spans="1:15" x14ac:dyDescent="0.3">
      <c r="A74">
        <v>73</v>
      </c>
      <c r="B74" t="s">
        <v>38</v>
      </c>
      <c r="C74" t="s">
        <v>368</v>
      </c>
      <c r="D74" t="s">
        <v>95</v>
      </c>
      <c r="E74" t="str">
        <f t="shared" si="8"/>
        <v xml:space="preserve">ΑΤΤΙΚΗΣ - ΠΕΡΙΣΤΕΡΙΟΥ, </v>
      </c>
      <c r="F74" t="s">
        <v>612</v>
      </c>
      <c r="G74">
        <v>14406</v>
      </c>
      <c r="H74" t="str">
        <f t="shared" si="9"/>
        <v>ΝΑΙ</v>
      </c>
      <c r="I74" t="str">
        <f>LOOKUP(B74,ΠΕΡΙΦΕΡΕΙΑ!$A$2:$A$14,ΠΕΡΙΦΕΡΕΙΑ!$B$2:$B$14)</f>
        <v>Μερική</v>
      </c>
      <c r="J74">
        <f t="shared" si="12"/>
        <v>73</v>
      </c>
      <c r="K74">
        <f t="shared" si="13"/>
        <v>85</v>
      </c>
      <c r="L74" t="str">
        <f t="shared" si="10"/>
        <v>ΑΤΤΙΚΗΣ</v>
      </c>
      <c r="M74" t="str">
        <f t="shared" si="11"/>
        <v>ΑΤΤΙΚΗΣ - ΦΥΛΗΣ</v>
      </c>
      <c r="N74">
        <f t="shared" si="14"/>
        <v>14528</v>
      </c>
      <c r="O74" t="str">
        <f t="shared" si="15"/>
        <v>Φυλής</v>
      </c>
    </row>
    <row r="75" spans="1:15" x14ac:dyDescent="0.3">
      <c r="A75">
        <v>74</v>
      </c>
      <c r="B75" t="s">
        <v>38</v>
      </c>
      <c r="C75" t="s">
        <v>368</v>
      </c>
      <c r="D75" t="s">
        <v>96</v>
      </c>
      <c r="E75" t="str">
        <f t="shared" si="8"/>
        <v xml:space="preserve">ΑΤΤΙΚΗΣ - ΠΕΤΡΟΥΠΟΛΕΩΣ, </v>
      </c>
      <c r="F75" t="s">
        <v>613</v>
      </c>
      <c r="G75">
        <v>14408</v>
      </c>
      <c r="H75" t="str">
        <f t="shared" si="9"/>
        <v>ΝΑΙ</v>
      </c>
      <c r="I75" t="str">
        <f>LOOKUP(B75,ΠΕΡΙΦΕΡΕΙΑ!$A$2:$A$14,ΠΕΡΙΦΕΡΕΙΑ!$B$2:$B$14)</f>
        <v>Μερική</v>
      </c>
      <c r="J75">
        <f t="shared" si="12"/>
        <v>74</v>
      </c>
      <c r="K75">
        <f t="shared" si="13"/>
        <v>86</v>
      </c>
      <c r="L75" t="str">
        <f t="shared" si="10"/>
        <v>ΑΤΤΙΚΗΣ</v>
      </c>
      <c r="M75" t="str">
        <f t="shared" si="11"/>
        <v>ΑΤΤΙΚΗΣ - ΧΑΪΔΑΡΙΟΥ</v>
      </c>
      <c r="N75">
        <f t="shared" si="14"/>
        <v>14526</v>
      </c>
      <c r="O75" t="str">
        <f t="shared" si="15"/>
        <v>Χαϊδαρίου</v>
      </c>
    </row>
    <row r="76" spans="1:15" x14ac:dyDescent="0.3">
      <c r="A76">
        <v>75</v>
      </c>
      <c r="B76" t="s">
        <v>38</v>
      </c>
      <c r="C76" t="s">
        <v>370</v>
      </c>
      <c r="D76" t="s">
        <v>109</v>
      </c>
      <c r="E76" t="str">
        <f t="shared" si="8"/>
        <v xml:space="preserve">ΑΤΤΙΚΗΣ - ΠΟΡΟΥ, </v>
      </c>
      <c r="F76" t="s">
        <v>614</v>
      </c>
      <c r="G76">
        <v>14416</v>
      </c>
      <c r="H76" t="str">
        <f t="shared" si="9"/>
        <v/>
      </c>
      <c r="I76" t="str">
        <f>LOOKUP(B76,ΠΕΡΙΦΕΡΕΙΑ!$A$2:$A$14,ΠΕΡΙΦΕΡΕΙΑ!$B$2:$B$14)</f>
        <v>Μερική</v>
      </c>
      <c r="J76" t="str">
        <f t="shared" si="12"/>
        <v/>
      </c>
      <c r="K76">
        <f t="shared" si="13"/>
        <v>87</v>
      </c>
      <c r="L76" t="str">
        <f t="shared" si="10"/>
        <v>ΑΤΤΙΚΗΣ</v>
      </c>
      <c r="M76" t="str">
        <f t="shared" si="11"/>
        <v>ΑΤΤΙΚΗΣ - ΧΑΛΑΝΔΡΙΟΥ</v>
      </c>
      <c r="N76">
        <f t="shared" si="14"/>
        <v>14530</v>
      </c>
      <c r="O76" t="str">
        <f t="shared" si="15"/>
        <v>Χαλανδρίου</v>
      </c>
    </row>
    <row r="77" spans="1:15" x14ac:dyDescent="0.3">
      <c r="A77">
        <v>76</v>
      </c>
      <c r="B77" t="s">
        <v>38</v>
      </c>
      <c r="C77" t="s">
        <v>365</v>
      </c>
      <c r="D77" t="s">
        <v>70</v>
      </c>
      <c r="E77" t="str">
        <f t="shared" si="8"/>
        <v xml:space="preserve">ΑΤΤΙΚΗΣ - ΡΑΦΗΝΑΣ – ΠΙΚΕΡΜΙΟΥ, </v>
      </c>
      <c r="F77" t="s">
        <v>615</v>
      </c>
      <c r="G77">
        <v>14380</v>
      </c>
      <c r="H77" t="str">
        <f t="shared" si="9"/>
        <v>ΝΑΙ</v>
      </c>
      <c r="I77" t="str">
        <f>LOOKUP(B77,ΠΕΡΙΦΕΡΕΙΑ!$A$2:$A$14,ΠΕΡΙΦΕΡΕΙΑ!$B$2:$B$14)</f>
        <v>Μερική</v>
      </c>
      <c r="J77">
        <f t="shared" si="12"/>
        <v>76</v>
      </c>
      <c r="K77">
        <f t="shared" si="13"/>
        <v>88</v>
      </c>
      <c r="L77" t="str">
        <f t="shared" si="10"/>
        <v>ΑΤΤΙΚΗΣ</v>
      </c>
      <c r="M77" t="str">
        <f t="shared" si="11"/>
        <v>ΑΤΤΙΚΗΣ - ΩΡΩΠΟΥ</v>
      </c>
      <c r="N77">
        <f t="shared" si="14"/>
        <v>14548</v>
      </c>
      <c r="O77" t="str">
        <f t="shared" si="15"/>
        <v>Ωρωπού</v>
      </c>
    </row>
    <row r="78" spans="1:15" x14ac:dyDescent="0.3">
      <c r="A78">
        <v>77</v>
      </c>
      <c r="B78" t="s">
        <v>38</v>
      </c>
      <c r="C78" t="s">
        <v>370</v>
      </c>
      <c r="D78" t="s">
        <v>110</v>
      </c>
      <c r="E78" t="str">
        <f t="shared" si="8"/>
        <v xml:space="preserve">ΑΤΤΙΚΗΣ - ΣΑΛΑΜΙΝΟΣ, </v>
      </c>
      <c r="F78" t="s">
        <v>616</v>
      </c>
      <c r="G78">
        <v>14430</v>
      </c>
      <c r="H78" t="str">
        <f t="shared" si="9"/>
        <v>ΝΑΙ</v>
      </c>
      <c r="I78" t="str">
        <f>LOOKUP(B78,ΠΕΡΙΦΕΡΕΙΑ!$A$2:$A$14,ΠΕΡΙΦΕΡΕΙΑ!$B$2:$B$14)</f>
        <v>Μερική</v>
      </c>
      <c r="J78">
        <f t="shared" si="12"/>
        <v>77</v>
      </c>
      <c r="K78">
        <f t="shared" si="13"/>
        <v>90</v>
      </c>
      <c r="L78" t="str">
        <f t="shared" si="10"/>
        <v>ΒΟΡΕΙΟΥ ΑΙΓΑΙΟΥ</v>
      </c>
      <c r="M78" t="str">
        <f t="shared" si="11"/>
        <v>ΒΟΡΕΙΟΥ ΑΙΓΑΙΟΥ - ΙΚΑΡΙΑΣ</v>
      </c>
      <c r="N78">
        <f t="shared" si="14"/>
        <v>14148</v>
      </c>
      <c r="O78" t="str">
        <f t="shared" si="15"/>
        <v>Ικαρίας</v>
      </c>
    </row>
    <row r="79" spans="1:15" x14ac:dyDescent="0.3">
      <c r="A79">
        <v>78</v>
      </c>
      <c r="B79" t="s">
        <v>38</v>
      </c>
      <c r="C79" t="s">
        <v>365</v>
      </c>
      <c r="D79" t="s">
        <v>71</v>
      </c>
      <c r="E79" t="str">
        <f t="shared" si="8"/>
        <v xml:space="preserve">ΑΤΤΙΚΗΣ - ΣΑΡΩΝΙΚΟΥ, </v>
      </c>
      <c r="F79" t="s">
        <v>617</v>
      </c>
      <c r="G79">
        <v>14448</v>
      </c>
      <c r="H79" t="str">
        <f t="shared" si="9"/>
        <v>ΝΑΙ</v>
      </c>
      <c r="I79" t="str">
        <f>LOOKUP(B79,ΠΕΡΙΦΕΡΕΙΑ!$A$2:$A$14,ΠΕΡΙΦΕΡΕΙΑ!$B$2:$B$14)</f>
        <v>Μερική</v>
      </c>
      <c r="J79">
        <f t="shared" si="12"/>
        <v>78</v>
      </c>
      <c r="K79">
        <f t="shared" si="13"/>
        <v>91</v>
      </c>
      <c r="L79" t="str">
        <f t="shared" si="10"/>
        <v>ΒΟΡΕΙΟΥ ΑΙΓΑΙΟΥ</v>
      </c>
      <c r="M79" t="str">
        <f t="shared" si="11"/>
        <v>ΒΟΡΕΙΟΥ ΑΙΓΑΙΟΥ - ΛΕΣΒΟΥ</v>
      </c>
      <c r="N79">
        <f t="shared" si="14"/>
        <v>14256</v>
      </c>
      <c r="O79" t="str">
        <f t="shared" si="15"/>
        <v>Λέσβου</v>
      </c>
    </row>
    <row r="80" spans="1:15" x14ac:dyDescent="0.3">
      <c r="A80">
        <v>79</v>
      </c>
      <c r="B80" t="s">
        <v>38</v>
      </c>
      <c r="C80" t="s">
        <v>365</v>
      </c>
      <c r="D80" t="s">
        <v>72</v>
      </c>
      <c r="E80" t="str">
        <f t="shared" si="8"/>
        <v xml:space="preserve">ΑΤΤΙΚΗΣ - ΣΠΑΤΩΝ – ΑΡΤΕΜΙΔΟΣ, </v>
      </c>
      <c r="F80" t="s">
        <v>618</v>
      </c>
      <c r="G80">
        <v>14480</v>
      </c>
      <c r="H80" t="str">
        <f t="shared" si="9"/>
        <v>ΝΑΙ</v>
      </c>
      <c r="I80" t="str">
        <f>LOOKUP(B80,ΠΕΡΙΦΕΡΕΙΑ!$A$2:$A$14,ΠΕΡΙΦΕΡΕΙΑ!$B$2:$B$14)</f>
        <v>Μερική</v>
      </c>
      <c r="J80">
        <f t="shared" si="12"/>
        <v>79</v>
      </c>
      <c r="K80">
        <f t="shared" si="13"/>
        <v>94</v>
      </c>
      <c r="L80" t="str">
        <f t="shared" si="10"/>
        <v>ΒΟΡΕΙΟΥ ΑΙΓΑΙΟΥ</v>
      </c>
      <c r="M80" t="str">
        <f t="shared" si="11"/>
        <v>ΒΟΡΕΙΟΥ ΑΙΓΑΙΟΥ - ΣΑΜΟΥ</v>
      </c>
      <c r="N80">
        <f t="shared" si="14"/>
        <v>14446</v>
      </c>
      <c r="O80" t="str">
        <f t="shared" si="15"/>
        <v>Σάμου</v>
      </c>
    </row>
    <row r="81" spans="1:15" x14ac:dyDescent="0.3">
      <c r="A81">
        <v>80</v>
      </c>
      <c r="B81" t="s">
        <v>38</v>
      </c>
      <c r="C81" t="s">
        <v>370</v>
      </c>
      <c r="D81" t="s">
        <v>111</v>
      </c>
      <c r="E81" t="str">
        <f t="shared" si="8"/>
        <v xml:space="preserve">ΑΤΤΙΚΗΣ - ΣΠΕΤΣΩΝ, </v>
      </c>
      <c r="F81" t="s">
        <v>619</v>
      </c>
      <c r="G81">
        <v>14482</v>
      </c>
      <c r="H81" t="str">
        <f t="shared" si="9"/>
        <v/>
      </c>
      <c r="I81" t="str">
        <f>LOOKUP(B81,ΠΕΡΙΦΕΡΕΙΑ!$A$2:$A$14,ΠΕΡΙΦΕΡΕΙΑ!$B$2:$B$14)</f>
        <v>Μερική</v>
      </c>
      <c r="J81" t="str">
        <f t="shared" si="12"/>
        <v/>
      </c>
      <c r="K81">
        <f t="shared" si="13"/>
        <v>96</v>
      </c>
      <c r="L81" t="str">
        <f t="shared" si="10"/>
        <v>ΒΟΡΕΙΟΥ ΑΙΓΑΙΟΥ</v>
      </c>
      <c r="M81" t="str">
        <f t="shared" si="11"/>
        <v>ΒΟΡΕΙΟΥ ΑΙΓΑΙΟΥ - ΧΙΟΥ</v>
      </c>
      <c r="N81">
        <f t="shared" si="14"/>
        <v>14542</v>
      </c>
      <c r="O81" t="str">
        <f t="shared" si="15"/>
        <v>Χίου</v>
      </c>
    </row>
    <row r="82" spans="1:15" x14ac:dyDescent="0.3">
      <c r="A82">
        <v>81</v>
      </c>
      <c r="B82" t="s">
        <v>38</v>
      </c>
      <c r="C82" t="s">
        <v>370</v>
      </c>
      <c r="D82" t="s">
        <v>112</v>
      </c>
      <c r="E82" t="str">
        <f t="shared" si="8"/>
        <v xml:space="preserve">ΑΤΤΙΚΗΣ - ΤΡΟΙΖΗΝΙΑΣ, </v>
      </c>
      <c r="F82" t="s">
        <v>620</v>
      </c>
      <c r="G82">
        <v>14502</v>
      </c>
      <c r="H82" t="str">
        <f t="shared" si="9"/>
        <v>ΝΑΙ</v>
      </c>
      <c r="I82" t="str">
        <f>LOOKUP(B82,ΠΕΡΙΦΕΡΕΙΑ!$A$2:$A$14,ΠΕΡΙΦΕΡΕΙΑ!$B$2:$B$14)</f>
        <v>Μερική</v>
      </c>
      <c r="J82">
        <f t="shared" si="12"/>
        <v>81</v>
      </c>
      <c r="K82">
        <f t="shared" si="13"/>
        <v>98</v>
      </c>
      <c r="L82" t="str">
        <f t="shared" si="10"/>
        <v>ΔΥΤΙΚΗΣ ΕΛΛΑΔΑΣ</v>
      </c>
      <c r="M82" t="str">
        <f t="shared" si="11"/>
        <v>ΔΥΤΙΚΗΣ ΕΛΛΑΔΑΣ - ΑΓΡΙΝΙΟΥ</v>
      </c>
      <c r="N82">
        <f t="shared" si="14"/>
        <v>13942</v>
      </c>
      <c r="O82" t="str">
        <f t="shared" si="15"/>
        <v>Αγρινίου</v>
      </c>
    </row>
    <row r="83" spans="1:15" x14ac:dyDescent="0.3">
      <c r="A83">
        <v>82</v>
      </c>
      <c r="B83" t="s">
        <v>38</v>
      </c>
      <c r="C83" t="s">
        <v>370</v>
      </c>
      <c r="D83" t="s">
        <v>113</v>
      </c>
      <c r="E83" t="str">
        <f t="shared" si="8"/>
        <v xml:space="preserve">ΑΤΤΙΚΗΣ - ΥΔΡΑΣ, </v>
      </c>
      <c r="F83" t="s">
        <v>621</v>
      </c>
      <c r="G83">
        <v>14508</v>
      </c>
      <c r="H83" t="str">
        <f t="shared" si="9"/>
        <v>ΝΑΙ</v>
      </c>
      <c r="I83" t="str">
        <f>LOOKUP(B83,ΠΕΡΙΦΕΡΕΙΑ!$A$2:$A$14,ΠΕΡΙΦΕΡΕΙΑ!$B$2:$B$14)</f>
        <v>Μερική</v>
      </c>
      <c r="J83">
        <f t="shared" si="12"/>
        <v>82</v>
      </c>
      <c r="K83">
        <f t="shared" si="13"/>
        <v>99</v>
      </c>
      <c r="L83" t="str">
        <f t="shared" si="10"/>
        <v>ΔΥΤΙΚΗΣ ΕΛΛΑΔΑΣ</v>
      </c>
      <c r="M83" t="str">
        <f t="shared" si="11"/>
        <v>ΔΥΤΙΚΗΣ ΕΛΛΑΔΑΣ - ΑΙΓΙΑΛΕΙΑΣ</v>
      </c>
      <c r="N83">
        <f t="shared" si="14"/>
        <v>13904</v>
      </c>
      <c r="O83" t="str">
        <f t="shared" si="15"/>
        <v>Αιγιαλείας</v>
      </c>
    </row>
    <row r="84" spans="1:15" x14ac:dyDescent="0.3">
      <c r="A84">
        <v>83</v>
      </c>
      <c r="B84" t="s">
        <v>38</v>
      </c>
      <c r="C84" t="s">
        <v>369</v>
      </c>
      <c r="D84" t="s">
        <v>105</v>
      </c>
      <c r="E84" t="str">
        <f t="shared" si="8"/>
        <v xml:space="preserve">ΑΤΤΙΚΗΣ - ΦΙΛΑΔΕΛΦΕΙΑΣ – ΧΑΛΚΗΔΟΝΟΣ, </v>
      </c>
      <c r="F84" t="s">
        <v>622</v>
      </c>
      <c r="G84">
        <v>14514</v>
      </c>
      <c r="H84" t="str">
        <f t="shared" si="9"/>
        <v>ΝΑΙ</v>
      </c>
      <c r="I84" t="str">
        <f>LOOKUP(B84,ΠΕΡΙΦΕΡΕΙΑ!$A$2:$A$14,ΠΕΡΙΦΕΡΕΙΑ!$B$2:$B$14)</f>
        <v>Μερική</v>
      </c>
      <c r="J84">
        <f t="shared" si="12"/>
        <v>83</v>
      </c>
      <c r="K84">
        <f t="shared" si="13"/>
        <v>100</v>
      </c>
      <c r="L84" t="str">
        <f t="shared" si="10"/>
        <v>ΔΥΤΙΚΗΣ ΕΛΛΑΔΑΣ</v>
      </c>
      <c r="M84" t="str">
        <f t="shared" si="11"/>
        <v>ΔΥΤΙΚΗΣ ΕΛΛΑΔΑΣ - ΑΚΤΙΟΥ – ΒΟΝΙΤΣΑΣ</v>
      </c>
      <c r="N84">
        <f t="shared" si="14"/>
        <v>13950</v>
      </c>
      <c r="O84" t="str">
        <f t="shared" si="15"/>
        <v>Άκτιου - Βόνιτσας</v>
      </c>
    </row>
    <row r="85" spans="1:15" x14ac:dyDescent="0.3">
      <c r="A85">
        <v>84</v>
      </c>
      <c r="B85" t="s">
        <v>38</v>
      </c>
      <c r="C85" t="s">
        <v>366</v>
      </c>
      <c r="D85" t="s">
        <v>84</v>
      </c>
      <c r="E85" t="str">
        <f t="shared" si="8"/>
        <v xml:space="preserve">ΑΤΤΙΚΗΣ - ΦΙΛΟΘΕΗΣ – ΨΥΧΙΚΟΥ, </v>
      </c>
      <c r="F85" t="s">
        <v>623</v>
      </c>
      <c r="G85">
        <v>14518</v>
      </c>
      <c r="H85" t="str">
        <f t="shared" si="9"/>
        <v>ΝΑΙ</v>
      </c>
      <c r="I85" t="str">
        <f>LOOKUP(B85,ΠΕΡΙΦΕΡΕΙΑ!$A$2:$A$14,ΠΕΡΙΦΕΡΕΙΑ!$B$2:$B$14)</f>
        <v>Μερική</v>
      </c>
      <c r="J85">
        <f t="shared" si="12"/>
        <v>84</v>
      </c>
      <c r="K85">
        <f t="shared" si="13"/>
        <v>101</v>
      </c>
      <c r="L85" t="str">
        <f t="shared" si="10"/>
        <v>ΔΥΤΙΚΗΣ ΕΛΛΑΔΑΣ</v>
      </c>
      <c r="M85" t="str">
        <f t="shared" si="11"/>
        <v>ΔΥΤΙΚΗΣ ΕΛΛΑΔΑΣ - ΑΜΦΙΛΟΧΙΑΣ</v>
      </c>
      <c r="N85">
        <f t="shared" si="14"/>
        <v>13974</v>
      </c>
      <c r="O85" t="str">
        <f t="shared" si="15"/>
        <v>Αμφιλοχίας</v>
      </c>
    </row>
    <row r="86" spans="1:15" x14ac:dyDescent="0.3">
      <c r="A86">
        <v>85</v>
      </c>
      <c r="B86" t="s">
        <v>38</v>
      </c>
      <c r="C86" t="s">
        <v>367</v>
      </c>
      <c r="D86" t="s">
        <v>90</v>
      </c>
      <c r="E86" t="str">
        <f t="shared" si="8"/>
        <v xml:space="preserve">ΑΤΤΙΚΗΣ - ΦΥΛΗΣ, </v>
      </c>
      <c r="F86" t="s">
        <v>624</v>
      </c>
      <c r="G86">
        <v>14528</v>
      </c>
      <c r="H86" t="str">
        <f t="shared" si="9"/>
        <v>ΝΑΙ</v>
      </c>
      <c r="I86" t="str">
        <f>LOOKUP(B86,ΠΕΡΙΦΕΡΕΙΑ!$A$2:$A$14,ΠΕΡΙΦΕΡΕΙΑ!$B$2:$B$14)</f>
        <v>Μερική</v>
      </c>
      <c r="J86">
        <f t="shared" si="12"/>
        <v>85</v>
      </c>
      <c r="K86">
        <f t="shared" si="13"/>
        <v>105</v>
      </c>
      <c r="L86" t="str">
        <f t="shared" si="10"/>
        <v>ΔΥΤΙΚΗΣ ΕΛΛΑΔΑΣ</v>
      </c>
      <c r="M86" t="str">
        <f t="shared" si="11"/>
        <v>ΔΥΤΙΚΗΣ ΕΛΛΑΔΑΣ - ΔΥΤΙΚΗΣ ΑΧΑΪΑΣ</v>
      </c>
      <c r="N86">
        <f t="shared" si="14"/>
        <v>14072</v>
      </c>
      <c r="O86" t="str">
        <f t="shared" si="15"/>
        <v>Δυτικής Αχαΐας</v>
      </c>
    </row>
    <row r="87" spans="1:15" x14ac:dyDescent="0.3">
      <c r="A87">
        <v>86</v>
      </c>
      <c r="B87" t="s">
        <v>38</v>
      </c>
      <c r="C87" t="s">
        <v>368</v>
      </c>
      <c r="D87" t="s">
        <v>97</v>
      </c>
      <c r="E87" t="str">
        <f t="shared" si="8"/>
        <v xml:space="preserve">ΑΤΤΙΚΗΣ - ΧΑΪΔΑΡΙΟΥ, </v>
      </c>
      <c r="F87" t="s">
        <v>625</v>
      </c>
      <c r="G87">
        <v>14526</v>
      </c>
      <c r="H87" t="str">
        <f t="shared" si="9"/>
        <v>ΝΑΙ</v>
      </c>
      <c r="I87" t="str">
        <f>LOOKUP(B87,ΠΕΡΙΦΕΡΕΙΑ!$A$2:$A$14,ΠΕΡΙΦΕΡΕΙΑ!$B$2:$B$14)</f>
        <v>Μερική</v>
      </c>
      <c r="J87">
        <f t="shared" si="12"/>
        <v>86</v>
      </c>
      <c r="K87">
        <f t="shared" si="13"/>
        <v>106</v>
      </c>
      <c r="L87" t="str">
        <f t="shared" si="10"/>
        <v>ΔΥΤΙΚΗΣ ΕΛΛΑΔΑΣ</v>
      </c>
      <c r="M87" t="str">
        <f t="shared" si="11"/>
        <v>ΔΥΤΙΚΗΣ ΕΛΛΑΔΑΣ - ΕΡΥΜΑΝΘΟΥ</v>
      </c>
      <c r="N87">
        <f t="shared" si="14"/>
        <v>14098</v>
      </c>
      <c r="O87" t="str">
        <f t="shared" si="15"/>
        <v>Ερυμάνθου</v>
      </c>
    </row>
    <row r="88" spans="1:15" x14ac:dyDescent="0.3">
      <c r="A88">
        <v>87</v>
      </c>
      <c r="B88" t="s">
        <v>38</v>
      </c>
      <c r="C88" t="s">
        <v>366</v>
      </c>
      <c r="D88" t="s">
        <v>85</v>
      </c>
      <c r="E88" t="str">
        <f t="shared" si="8"/>
        <v xml:space="preserve">ΑΤΤΙΚΗΣ - ΧΑΛΑΝΔΡΙΟΥ, </v>
      </c>
      <c r="F88" t="s">
        <v>626</v>
      </c>
      <c r="G88">
        <v>14530</v>
      </c>
      <c r="H88" t="str">
        <f t="shared" si="9"/>
        <v>ΝΑΙ</v>
      </c>
      <c r="I88" t="str">
        <f>LOOKUP(B88,ΠΕΡΙΦΕΡΕΙΑ!$A$2:$A$14,ΠΕΡΙΦΕΡΕΙΑ!$B$2:$B$14)</f>
        <v>Μερική</v>
      </c>
      <c r="J88">
        <f t="shared" si="12"/>
        <v>87</v>
      </c>
      <c r="K88">
        <f t="shared" si="13"/>
        <v>107</v>
      </c>
      <c r="L88" t="str">
        <f t="shared" si="10"/>
        <v>ΔΥΤΙΚΗΣ ΕΛΛΑΔΑΣ</v>
      </c>
      <c r="M88" t="str">
        <f t="shared" si="11"/>
        <v>ΔΥΤΙΚΗΣ ΕΛΛΑΔΑΣ - ΖΑΧΑΡΩΣ</v>
      </c>
      <c r="N88">
        <f t="shared" si="14"/>
        <v>14110</v>
      </c>
      <c r="O88" t="str">
        <f t="shared" si="15"/>
        <v>Ζαχάρως</v>
      </c>
    </row>
    <row r="89" spans="1:15" x14ac:dyDescent="0.3">
      <c r="A89">
        <v>88</v>
      </c>
      <c r="B89" t="s">
        <v>38</v>
      </c>
      <c r="C89" t="s">
        <v>365</v>
      </c>
      <c r="D89" t="s">
        <v>73</v>
      </c>
      <c r="E89" t="str">
        <f t="shared" si="8"/>
        <v xml:space="preserve">ΑΤΤΙΚΗΣ - ΩΡΩΠΟΥ, </v>
      </c>
      <c r="F89" t="s">
        <v>627</v>
      </c>
      <c r="G89">
        <v>14548</v>
      </c>
      <c r="H89" t="str">
        <f t="shared" si="9"/>
        <v>ΝΑΙ</v>
      </c>
      <c r="I89" t="str">
        <f>LOOKUP(B89,ΠΕΡΙΦΕΡΕΙΑ!$A$2:$A$14,ΠΕΡΙΦΕΡΕΙΑ!$B$2:$B$14)</f>
        <v>Μερική</v>
      </c>
      <c r="J89">
        <f t="shared" si="12"/>
        <v>88</v>
      </c>
      <c r="K89">
        <f t="shared" si="13"/>
        <v>108</v>
      </c>
      <c r="L89" t="str">
        <f t="shared" si="10"/>
        <v>ΔΥΤΙΚΗΣ ΕΛΛΑΔΑΣ</v>
      </c>
      <c r="M89" t="str">
        <f t="shared" si="11"/>
        <v>ΔΥΤΙΚΗΣ ΕΛΛΑΔΑΣ - ΗΛΙΔΑΣ</v>
      </c>
      <c r="N89">
        <f t="shared" si="14"/>
        <v>14118</v>
      </c>
      <c r="O89" t="str">
        <f t="shared" si="15"/>
        <v>Ήλιδας</v>
      </c>
    </row>
    <row r="90" spans="1:15" x14ac:dyDescent="0.3">
      <c r="A90">
        <v>89</v>
      </c>
      <c r="B90" t="s">
        <v>402</v>
      </c>
      <c r="C90" t="s">
        <v>131</v>
      </c>
      <c r="D90" t="s">
        <v>130</v>
      </c>
      <c r="E90" t="str">
        <f t="shared" si="8"/>
        <v xml:space="preserve">ΒΟΡΕΙΟΥ ΑΙΓΑΙΟΥ - ΑΓΙΟΥ ΕΥΣΤΡΑΤΙΟΥ, </v>
      </c>
      <c r="F90" t="s">
        <v>628</v>
      </c>
      <c r="G90">
        <v>13928</v>
      </c>
      <c r="H90" t="str">
        <f t="shared" si="9"/>
        <v/>
      </c>
      <c r="I90" t="str">
        <f>LOOKUP(B90,ΠΕΡΙΦΕΡΕΙΑ!$A$2:$A$14,ΠΕΡΙΦΕΡΕΙΑ!$B$2:$B$14)</f>
        <v>Μερική</v>
      </c>
      <c r="J90" t="str">
        <f t="shared" si="12"/>
        <v/>
      </c>
      <c r="K90">
        <f t="shared" si="13"/>
        <v>109</v>
      </c>
      <c r="L90" t="str">
        <f t="shared" si="10"/>
        <v>ΔΥΤΙΚΗΣ ΕΛΛΑΔΑΣ</v>
      </c>
      <c r="M90" t="str">
        <f t="shared" si="11"/>
        <v>ΔΥΤΙΚΗΣ ΕΛΛΑΔΑΣ - ΘΕΡΜΟΥ</v>
      </c>
      <c r="N90">
        <f t="shared" si="14"/>
        <v>14136</v>
      </c>
      <c r="O90" t="str">
        <f t="shared" si="15"/>
        <v>Θέρμου</v>
      </c>
    </row>
    <row r="91" spans="1:15" x14ac:dyDescent="0.3">
      <c r="A91">
        <v>90</v>
      </c>
      <c r="B91" t="s">
        <v>402</v>
      </c>
      <c r="C91" t="s">
        <v>127</v>
      </c>
      <c r="D91" t="s">
        <v>127</v>
      </c>
      <c r="E91" t="str">
        <f t="shared" si="8"/>
        <v xml:space="preserve">ΒΟΡΕΙΟΥ ΑΙΓΑΙΟΥ - ΙΚΑΡΙΑΣ, </v>
      </c>
      <c r="F91" t="s">
        <v>629</v>
      </c>
      <c r="G91">
        <v>14148</v>
      </c>
      <c r="H91" t="str">
        <f t="shared" si="9"/>
        <v>ΝΑΙ</v>
      </c>
      <c r="I91" t="str">
        <f>LOOKUP(B91,ΠΕΡΙΦΕΡΕΙΑ!$A$2:$A$14,ΠΕΡΙΦΕΡΕΙΑ!$B$2:$B$14)</f>
        <v>Μερική</v>
      </c>
      <c r="J91">
        <f t="shared" si="12"/>
        <v>90</v>
      </c>
      <c r="K91">
        <f t="shared" si="13"/>
        <v>110</v>
      </c>
      <c r="L91" t="str">
        <f t="shared" si="10"/>
        <v>ΔΥΤΙΚΗΣ ΕΛΛΑΔΑΣ</v>
      </c>
      <c r="M91" t="str">
        <f t="shared" si="11"/>
        <v>ΔΥΤΙΚΗΣ ΕΛΛΑΔΑΣ - ΙΕΡΑΣ ΠΟΛΗΣ ΜΕΣΟΛΟΓΓΙΟΥ</v>
      </c>
      <c r="N91">
        <f t="shared" si="14"/>
        <v>14142</v>
      </c>
      <c r="O91" t="str">
        <f t="shared" si="15"/>
        <v>Ιεράς Πόλης Μεσολογγίου</v>
      </c>
    </row>
    <row r="92" spans="1:15" x14ac:dyDescent="0.3">
      <c r="A92">
        <v>91</v>
      </c>
      <c r="B92" t="s">
        <v>402</v>
      </c>
      <c r="C92" t="s">
        <v>129</v>
      </c>
      <c r="D92" t="s">
        <v>129</v>
      </c>
      <c r="E92" t="str">
        <f t="shared" si="8"/>
        <v xml:space="preserve">ΒΟΡΕΙΟΥ ΑΙΓΑΙΟΥ - ΛΕΣΒΟΥ, </v>
      </c>
      <c r="F92" t="s">
        <v>630</v>
      </c>
      <c r="G92">
        <v>14256</v>
      </c>
      <c r="H92" t="str">
        <f t="shared" si="9"/>
        <v>ΝΑΙ</v>
      </c>
      <c r="I92" t="str">
        <f>LOOKUP(B92,ΠΕΡΙΦΕΡΕΙΑ!$A$2:$A$14,ΠΕΡΙΦΕΡΕΙΑ!$B$2:$B$14)</f>
        <v>Μερική</v>
      </c>
      <c r="J92">
        <f t="shared" si="12"/>
        <v>91</v>
      </c>
      <c r="K92">
        <f t="shared" si="13"/>
        <v>111</v>
      </c>
      <c r="L92" t="str">
        <f t="shared" si="10"/>
        <v>ΔΥΤΙΚΗΣ ΕΛΛΑΔΑΣ</v>
      </c>
      <c r="M92" t="str">
        <f t="shared" si="11"/>
        <v>ΔΥΤΙΚΗΣ ΕΛΛΑΔΑΣ - ΚΑΛΑΒΡΥΤΩΝ</v>
      </c>
      <c r="N92">
        <f t="shared" si="14"/>
        <v>14174</v>
      </c>
      <c r="O92" t="str">
        <f t="shared" si="15"/>
        <v>Καλαβρύτων</v>
      </c>
    </row>
    <row r="93" spans="1:15" x14ac:dyDescent="0.3">
      <c r="A93">
        <v>92</v>
      </c>
      <c r="B93" t="s">
        <v>402</v>
      </c>
      <c r="C93" t="s">
        <v>131</v>
      </c>
      <c r="D93" t="s">
        <v>131</v>
      </c>
      <c r="E93" t="str">
        <f t="shared" si="8"/>
        <v xml:space="preserve">ΒΟΡΕΙΟΥ ΑΙΓΑΙΟΥ - ΛΗΜΝΟΥ, </v>
      </c>
      <c r="F93" t="s">
        <v>631</v>
      </c>
      <c r="G93">
        <v>14240</v>
      </c>
      <c r="H93" t="str">
        <f t="shared" si="9"/>
        <v/>
      </c>
      <c r="I93" t="str">
        <f>LOOKUP(B93,ΠΕΡΙΦΕΡΕΙΑ!$A$2:$A$14,ΠΕΡΙΦΕΡΕΙΑ!$B$2:$B$14)</f>
        <v>Μερική</v>
      </c>
      <c r="J93" t="str">
        <f t="shared" si="12"/>
        <v/>
      </c>
      <c r="K93">
        <f t="shared" si="13"/>
        <v>112</v>
      </c>
      <c r="L93" t="str">
        <f t="shared" si="10"/>
        <v>ΔΥΤΙΚΗΣ ΕΛΛΑΔΑΣ</v>
      </c>
      <c r="M93" t="str">
        <f t="shared" si="11"/>
        <v>ΔΥΤΙΚΗΣ ΕΛΛΑΔΑΣ - ΝΑΥΠΑΚΤΙΑΣ</v>
      </c>
      <c r="N93">
        <f t="shared" si="14"/>
        <v>14312</v>
      </c>
      <c r="O93" t="str">
        <f t="shared" si="15"/>
        <v>Ναυπακτίας</v>
      </c>
    </row>
    <row r="94" spans="1:15" x14ac:dyDescent="0.3">
      <c r="A94">
        <v>93</v>
      </c>
      <c r="B94" t="s">
        <v>402</v>
      </c>
      <c r="C94" t="s">
        <v>134</v>
      </c>
      <c r="D94" t="s">
        <v>133</v>
      </c>
      <c r="E94" t="str">
        <f t="shared" si="8"/>
        <v xml:space="preserve">ΒΟΡΕΙΟΥ ΑΙΓΑΙΟΥ - ΟΙΝΟΥΣΣΩΝ, </v>
      </c>
      <c r="F94" t="s">
        <v>632</v>
      </c>
      <c r="G94">
        <v>14348</v>
      </c>
      <c r="H94" t="str">
        <f t="shared" si="9"/>
        <v/>
      </c>
      <c r="I94" t="str">
        <f>LOOKUP(B94,ΠΕΡΙΦΕΡΕΙΑ!$A$2:$A$14,ΠΕΡΙΦΕΡΕΙΑ!$B$2:$B$14)</f>
        <v>Μερική</v>
      </c>
      <c r="J94" t="str">
        <f t="shared" si="12"/>
        <v/>
      </c>
      <c r="K94">
        <f t="shared" si="13"/>
        <v>113</v>
      </c>
      <c r="L94" t="str">
        <f t="shared" si="10"/>
        <v>ΔΥΤΙΚΗΣ ΕΛΛΑΔΑΣ</v>
      </c>
      <c r="M94" t="str">
        <f t="shared" si="11"/>
        <v>ΔΥΤΙΚΗΣ ΕΛΛΑΔΑΣ - ΞΗΡΟΜΕΡΟΥ</v>
      </c>
      <c r="N94">
        <f t="shared" si="14"/>
        <v>14344</v>
      </c>
      <c r="O94" t="str">
        <f t="shared" si="15"/>
        <v>Ξηρομέρου</v>
      </c>
    </row>
    <row r="95" spans="1:15" x14ac:dyDescent="0.3">
      <c r="A95">
        <v>94</v>
      </c>
      <c r="B95" t="s">
        <v>402</v>
      </c>
      <c r="C95" t="s">
        <v>132</v>
      </c>
      <c r="D95" t="s">
        <v>132</v>
      </c>
      <c r="E95" t="str">
        <f t="shared" si="8"/>
        <v xml:space="preserve">ΒΟΡΕΙΟΥ ΑΙΓΑΙΟΥ - ΣΑΜΟΥ, </v>
      </c>
      <c r="F95" t="s">
        <v>633</v>
      </c>
      <c r="G95">
        <v>14446</v>
      </c>
      <c r="H95" t="str">
        <f t="shared" si="9"/>
        <v>ΝΑΙ</v>
      </c>
      <c r="I95" t="str">
        <f>LOOKUP(B95,ΠΕΡΙΦΕΡΕΙΑ!$A$2:$A$14,ΠΕΡΙΦΕΡΕΙΑ!$B$2:$B$14)</f>
        <v>Μερική</v>
      </c>
      <c r="J95">
        <f t="shared" si="12"/>
        <v>94</v>
      </c>
      <c r="K95">
        <f t="shared" si="13"/>
        <v>114</v>
      </c>
      <c r="L95" t="str">
        <f t="shared" si="10"/>
        <v>ΔΥΤΙΚΗΣ ΕΛΛΑΔΑΣ</v>
      </c>
      <c r="M95" t="str">
        <f t="shared" si="11"/>
        <v>ΔΥΤΙΚΗΣ ΕΛΛΑΔΑΣ - ΠΑΤΡΕΩΝ</v>
      </c>
      <c r="N95">
        <f t="shared" si="14"/>
        <v>14366</v>
      </c>
      <c r="O95" t="str">
        <f t="shared" si="15"/>
        <v>Πατρέων</v>
      </c>
    </row>
    <row r="96" spans="1:15" x14ac:dyDescent="0.3">
      <c r="A96">
        <v>95</v>
      </c>
      <c r="B96" t="s">
        <v>402</v>
      </c>
      <c r="C96" t="s">
        <v>127</v>
      </c>
      <c r="D96" t="s">
        <v>128</v>
      </c>
      <c r="E96" t="str">
        <f t="shared" si="8"/>
        <v xml:space="preserve">ΒΟΡΕΙΟΥ ΑΙΓΑΙΟΥ - ΦΟΥΡΝΩΝ ΚΟΡΣΕΩΝ, </v>
      </c>
      <c r="F96" t="s">
        <v>634</v>
      </c>
      <c r="G96">
        <v>14524</v>
      </c>
      <c r="H96" t="str">
        <f t="shared" si="9"/>
        <v/>
      </c>
      <c r="I96" t="str">
        <f>LOOKUP(B96,ΠΕΡΙΦΕΡΕΙΑ!$A$2:$A$14,ΠΕΡΙΦΕΡΕΙΑ!$B$2:$B$14)</f>
        <v>Μερική</v>
      </c>
      <c r="J96" t="str">
        <f t="shared" si="12"/>
        <v/>
      </c>
      <c r="K96">
        <f t="shared" si="13"/>
        <v>116</v>
      </c>
      <c r="L96" t="str">
        <f t="shared" si="10"/>
        <v>ΔΥΤΙΚΗΣ ΕΛΛΑΔΑΣ</v>
      </c>
      <c r="M96" t="str">
        <f t="shared" si="11"/>
        <v>ΔΥΤΙΚΗΣ ΕΛΛΑΔΑΣ - ΠΥΡΓΟΥ</v>
      </c>
      <c r="N96">
        <f t="shared" si="14"/>
        <v>14376</v>
      </c>
      <c r="O96" t="str">
        <f t="shared" si="15"/>
        <v>Πύργου</v>
      </c>
    </row>
    <row r="97" spans="1:15" x14ac:dyDescent="0.3">
      <c r="A97">
        <v>96</v>
      </c>
      <c r="B97" t="s">
        <v>402</v>
      </c>
      <c r="C97" t="s">
        <v>134</v>
      </c>
      <c r="D97" t="s">
        <v>134</v>
      </c>
      <c r="E97" t="str">
        <f t="shared" si="8"/>
        <v xml:space="preserve">ΒΟΡΕΙΟΥ ΑΙΓΑΙΟΥ - ΧΙΟΥ, </v>
      </c>
      <c r="F97" t="s">
        <v>635</v>
      </c>
      <c r="G97">
        <v>14542</v>
      </c>
      <c r="H97" t="str">
        <f t="shared" si="9"/>
        <v>ΝΑΙ</v>
      </c>
      <c r="I97" t="str">
        <f>LOOKUP(B97,ΠΕΡΙΦΕΡΕΙΑ!$A$2:$A$14,ΠΕΡΙΦΕΡΕΙΑ!$B$2:$B$14)</f>
        <v>Μερική</v>
      </c>
      <c r="J97">
        <f t="shared" si="12"/>
        <v>96</v>
      </c>
      <c r="K97">
        <f t="shared" si="13"/>
        <v>117</v>
      </c>
      <c r="L97" t="str">
        <f t="shared" si="10"/>
        <v>ΔΥΤΙΚΗΣ ΜΑΚΕΔΟΝΙΑΣ</v>
      </c>
      <c r="M97" t="str">
        <f t="shared" si="11"/>
        <v>ΔΥΤΙΚΗΣ ΜΑΚΕΔΟΝΙΑΣ - ΑΜΥΝΤΑΙΟΥ</v>
      </c>
      <c r="N97">
        <f t="shared" si="14"/>
        <v>13970</v>
      </c>
      <c r="O97" t="str">
        <f t="shared" si="15"/>
        <v>Αμυνταίου</v>
      </c>
    </row>
    <row r="98" spans="1:15" x14ac:dyDescent="0.3">
      <c r="A98">
        <v>97</v>
      </c>
      <c r="B98" t="s">
        <v>402</v>
      </c>
      <c r="C98" t="s">
        <v>134</v>
      </c>
      <c r="D98" t="s">
        <v>135</v>
      </c>
      <c r="E98" t="str">
        <f t="shared" si="8"/>
        <v xml:space="preserve">ΒΟΡΕΙΟΥ ΑΙΓΑΙΟΥ - ΨΑΡΩΝ, </v>
      </c>
      <c r="F98" t="s">
        <v>636</v>
      </c>
      <c r="G98">
        <v>14546</v>
      </c>
      <c r="H98" t="str">
        <f t="shared" si="9"/>
        <v/>
      </c>
      <c r="I98" t="str">
        <f>LOOKUP(B98,ΠΕΡΙΦΕΡΕΙΑ!$A$2:$A$14,ΠΕΡΙΦΕΡΕΙΑ!$B$2:$B$14)</f>
        <v>Μερική</v>
      </c>
      <c r="J98" t="str">
        <f t="shared" si="12"/>
        <v/>
      </c>
      <c r="K98">
        <f t="shared" si="13"/>
        <v>118</v>
      </c>
      <c r="L98" t="str">
        <f t="shared" si="10"/>
        <v>ΔΥΤΙΚΗΣ ΜΑΚΕΔΟΝΙΑΣ</v>
      </c>
      <c r="M98" t="str">
        <f t="shared" si="11"/>
        <v>ΔΥΤΙΚΗΣ ΜΑΚΕΔΟΝΙΑΣ - ΒΟΪΟΥ</v>
      </c>
      <c r="N98">
        <f t="shared" si="14"/>
        <v>14028</v>
      </c>
      <c r="O98" t="str">
        <f t="shared" si="15"/>
        <v>Βοϊου</v>
      </c>
    </row>
    <row r="99" spans="1:15" x14ac:dyDescent="0.3">
      <c r="A99">
        <v>98</v>
      </c>
      <c r="B99" t="s">
        <v>403</v>
      </c>
      <c r="C99" t="s">
        <v>372</v>
      </c>
      <c r="D99" t="s">
        <v>136</v>
      </c>
      <c r="E99" t="str">
        <f t="shared" si="8"/>
        <v xml:space="preserve">ΔΥΤΙΚΗΣ ΕΛΛΑΔΑΣ - ΑΓΡΙΝΙΟΥ, </v>
      </c>
      <c r="F99" t="s">
        <v>637</v>
      </c>
      <c r="G99">
        <v>13942</v>
      </c>
      <c r="H99" t="str">
        <f t="shared" si="9"/>
        <v>ΝΑΙ</v>
      </c>
      <c r="I99" t="str">
        <f>LOOKUP(B99,ΠΕΡΙΦΕΡΕΙΑ!$A$2:$A$14,ΠΕΡΙΦΕΡΕΙΑ!$B$2:$B$14)</f>
        <v>Μερική</v>
      </c>
      <c r="J99">
        <f t="shared" si="12"/>
        <v>98</v>
      </c>
      <c r="K99">
        <f t="shared" si="13"/>
        <v>119</v>
      </c>
      <c r="L99" t="str">
        <f t="shared" si="10"/>
        <v>ΔΥΤΙΚΗΣ ΜΑΚΕΔΟΝΙΑΣ</v>
      </c>
      <c r="M99" t="str">
        <f t="shared" si="11"/>
        <v>ΔΥΤΙΚΗΣ ΜΑΚΕΔΟΝΙΑΣ - ΓΡΕΒΕΝΩΝ</v>
      </c>
      <c r="N99">
        <f t="shared" si="14"/>
        <v>14038</v>
      </c>
      <c r="O99" t="str">
        <f t="shared" si="15"/>
        <v>Γρεβενών</v>
      </c>
    </row>
    <row r="100" spans="1:15" x14ac:dyDescent="0.3">
      <c r="A100">
        <v>99</v>
      </c>
      <c r="B100" t="s">
        <v>403</v>
      </c>
      <c r="C100" t="s">
        <v>373</v>
      </c>
      <c r="D100" t="s">
        <v>143</v>
      </c>
      <c r="E100" t="str">
        <f t="shared" si="8"/>
        <v xml:space="preserve">ΔΥΤΙΚΗΣ ΕΛΛΑΔΑΣ - ΑΙΓΙΑΛΕΙΑΣ, </v>
      </c>
      <c r="F100" t="s">
        <v>638</v>
      </c>
      <c r="G100">
        <v>13904</v>
      </c>
      <c r="H100" t="str">
        <f t="shared" si="9"/>
        <v>ΝΑΙ</v>
      </c>
      <c r="I100" t="str">
        <f>LOOKUP(B100,ΠΕΡΙΦΕΡΕΙΑ!$A$2:$A$14,ΠΕΡΙΦΕΡΕΙΑ!$B$2:$B$14)</f>
        <v>Μερική</v>
      </c>
      <c r="J100">
        <f t="shared" si="12"/>
        <v>99</v>
      </c>
      <c r="K100">
        <f t="shared" si="13"/>
        <v>120</v>
      </c>
      <c r="L100" t="str">
        <f t="shared" si="10"/>
        <v>ΔΥΤΙΚΗΣ ΜΑΚΕΔΟΝΙΑΣ</v>
      </c>
      <c r="M100" t="str">
        <f t="shared" si="11"/>
        <v>ΔΥΤΙΚΗΣ ΜΑΚΕΔΟΝΙΑΣ - ΔΕΣΚΑΤΗΣ</v>
      </c>
      <c r="N100">
        <f t="shared" si="14"/>
        <v>14054</v>
      </c>
      <c r="O100" t="str">
        <f t="shared" si="15"/>
        <v>Δεσκάτης</v>
      </c>
    </row>
    <row r="101" spans="1:15" x14ac:dyDescent="0.3">
      <c r="A101">
        <v>100</v>
      </c>
      <c r="B101" t="s">
        <v>403</v>
      </c>
      <c r="C101" t="s">
        <v>372</v>
      </c>
      <c r="D101" t="s">
        <v>137</v>
      </c>
      <c r="E101" t="str">
        <f t="shared" si="8"/>
        <v xml:space="preserve">ΔΥΤΙΚΗΣ ΕΛΛΑΔΑΣ - ΑΚΤΙΟΥ – ΒΟΝΙΤΣΑΣ, </v>
      </c>
      <c r="F101" t="s">
        <v>639</v>
      </c>
      <c r="G101">
        <v>13950</v>
      </c>
      <c r="H101" t="str">
        <f t="shared" si="9"/>
        <v>ΝΑΙ</v>
      </c>
      <c r="I101" t="str">
        <f>LOOKUP(B101,ΠΕΡΙΦΕΡΕΙΑ!$A$2:$A$14,ΠΕΡΙΦΕΡΕΙΑ!$B$2:$B$14)</f>
        <v>Μερική</v>
      </c>
      <c r="J101">
        <f t="shared" si="12"/>
        <v>100</v>
      </c>
      <c r="K101">
        <f t="shared" si="13"/>
        <v>121</v>
      </c>
      <c r="L101" t="str">
        <f t="shared" si="10"/>
        <v>ΔΥΤΙΚΗΣ ΜΑΚΕΔΟΝΙΑΣ</v>
      </c>
      <c r="M101" t="str">
        <f t="shared" si="11"/>
        <v>ΔΥΤΙΚΗΣ ΜΑΚΕΔΟΝΙΑΣ - ΕΟΡΔΑΙΑΣ</v>
      </c>
      <c r="N101">
        <f t="shared" si="14"/>
        <v>14090</v>
      </c>
      <c r="O101" t="str">
        <f t="shared" si="15"/>
        <v>Εορδαίας</v>
      </c>
    </row>
    <row r="102" spans="1:15" x14ac:dyDescent="0.3">
      <c r="A102">
        <v>101</v>
      </c>
      <c r="B102" t="s">
        <v>403</v>
      </c>
      <c r="C102" t="s">
        <v>372</v>
      </c>
      <c r="D102" t="s">
        <v>138</v>
      </c>
      <c r="E102" t="str">
        <f t="shared" si="8"/>
        <v xml:space="preserve">ΔΥΤΙΚΗΣ ΕΛΛΑΔΑΣ - ΑΜΦΙΛΟΧΙΑΣ, </v>
      </c>
      <c r="F102" t="s">
        <v>640</v>
      </c>
      <c r="G102">
        <v>13974</v>
      </c>
      <c r="H102" t="str">
        <f t="shared" si="9"/>
        <v>ΝΑΙ</v>
      </c>
      <c r="I102" t="str">
        <f>LOOKUP(B102,ΠΕΡΙΦΕΡΕΙΑ!$A$2:$A$14,ΠΕΡΙΦΕΡΕΙΑ!$B$2:$B$14)</f>
        <v>Μερική</v>
      </c>
      <c r="J102">
        <f t="shared" si="12"/>
        <v>101</v>
      </c>
      <c r="K102">
        <f t="shared" si="13"/>
        <v>122</v>
      </c>
      <c r="L102" t="str">
        <f t="shared" si="10"/>
        <v>ΔΥΤΙΚΗΣ ΜΑΚΕΔΟΝΙΑΣ</v>
      </c>
      <c r="M102" t="str">
        <f t="shared" si="11"/>
        <v>ΔΥΤΙΚΗΣ ΜΑΚΕΔΟΝΙΑΣ - ΚΑΣΤΟΡΙΑΣ</v>
      </c>
      <c r="N102">
        <f t="shared" si="14"/>
        <v>14160</v>
      </c>
      <c r="O102" t="str">
        <f t="shared" si="15"/>
        <v>Καστοριάς</v>
      </c>
    </row>
    <row r="103" spans="1:15" x14ac:dyDescent="0.3">
      <c r="A103">
        <v>102</v>
      </c>
      <c r="B103" t="s">
        <v>403</v>
      </c>
      <c r="C103" t="s">
        <v>374</v>
      </c>
      <c r="D103" t="s">
        <v>148</v>
      </c>
      <c r="E103" t="str">
        <f t="shared" si="8"/>
        <v xml:space="preserve">ΔΥΤΙΚΗΣ ΕΛΛΑΔΑΣ - ΑΝΔΡΑΒΙΔΑΣ – ΚΥΛΛΗΝΗΣ, </v>
      </c>
      <c r="F103" t="s">
        <v>641</v>
      </c>
      <c r="G103">
        <v>13984</v>
      </c>
      <c r="H103" t="str">
        <f t="shared" si="9"/>
        <v/>
      </c>
      <c r="I103" t="str">
        <f>LOOKUP(B103,ΠΕΡΙΦΕΡΕΙΑ!$A$2:$A$14,ΠΕΡΙΦΕΡΕΙΑ!$B$2:$B$14)</f>
        <v>Μερική</v>
      </c>
      <c r="J103" t="str">
        <f t="shared" si="12"/>
        <v/>
      </c>
      <c r="K103">
        <f t="shared" si="13"/>
        <v>123</v>
      </c>
      <c r="L103" t="str">
        <f t="shared" si="10"/>
        <v>ΔΥΤΙΚΗΣ ΜΑΚΕΔΟΝΙΑΣ</v>
      </c>
      <c r="M103" t="str">
        <f t="shared" si="11"/>
        <v>ΔΥΤΙΚΗΣ ΜΑΚΕΔΟΝΙΑΣ - ΚΟΖΑΝΗΣ</v>
      </c>
      <c r="N103">
        <f t="shared" si="14"/>
        <v>14218</v>
      </c>
      <c r="O103" t="str">
        <f t="shared" si="15"/>
        <v>Κοζάνης</v>
      </c>
    </row>
    <row r="104" spans="1:15" x14ac:dyDescent="0.3">
      <c r="A104">
        <v>103</v>
      </c>
      <c r="B104" t="s">
        <v>403</v>
      </c>
      <c r="C104" t="s">
        <v>374</v>
      </c>
      <c r="D104" t="s">
        <v>149</v>
      </c>
      <c r="E104" t="str">
        <f t="shared" si="8"/>
        <v xml:space="preserve">ΔΥΤΙΚΗΣ ΕΛΛΑΔΑΣ - ΑΝΔΡΙΤΣΑΙΝΑΣ – ΚΡΕΣΤΕΝΩΝ, </v>
      </c>
      <c r="F104" t="s">
        <v>642</v>
      </c>
      <c r="G104">
        <v>13982</v>
      </c>
      <c r="H104" t="str">
        <f t="shared" si="9"/>
        <v/>
      </c>
      <c r="I104" t="str">
        <f>LOOKUP(B104,ΠΕΡΙΦΕΡΕΙΑ!$A$2:$A$14,ΠΕΡΙΦΕΡΕΙΑ!$B$2:$B$14)</f>
        <v>Μερική</v>
      </c>
      <c r="J104" t="str">
        <f t="shared" si="12"/>
        <v/>
      </c>
      <c r="K104">
        <f t="shared" si="13"/>
        <v>124</v>
      </c>
      <c r="L104" t="str">
        <f t="shared" si="10"/>
        <v>ΔΥΤΙΚΗΣ ΜΑΚΕΔΟΝΙΑΣ</v>
      </c>
      <c r="M104" t="str">
        <f t="shared" si="11"/>
        <v>ΔΥΤΙΚΗΣ ΜΑΚΕΔΟΝΙΑΣ - ΝΕΣΤΟΡΙΟΥ</v>
      </c>
      <c r="N104">
        <f t="shared" si="14"/>
        <v>14324</v>
      </c>
      <c r="O104" t="str">
        <f t="shared" si="15"/>
        <v>Νεστορίου</v>
      </c>
    </row>
    <row r="105" spans="1:15" x14ac:dyDescent="0.3">
      <c r="A105">
        <v>104</v>
      </c>
      <c r="B105" t="s">
        <v>403</v>
      </c>
      <c r="C105" t="s">
        <v>374</v>
      </c>
      <c r="D105" t="s">
        <v>150</v>
      </c>
      <c r="E105" t="str">
        <f t="shared" si="8"/>
        <v xml:space="preserve">ΔΥΤΙΚΗΣ ΕΛΛΑΔΑΣ - ΑΡΧΑΙΑΣ ΟΛΥΜΠΙΑΣ, </v>
      </c>
      <c r="F105" t="s">
        <v>643</v>
      </c>
      <c r="G105">
        <v>14000</v>
      </c>
      <c r="H105" t="str">
        <f t="shared" si="9"/>
        <v/>
      </c>
      <c r="I105" t="str">
        <f>LOOKUP(B105,ΠΕΡΙΦΕΡΕΙΑ!$A$2:$A$14,ΠΕΡΙΦΕΡΕΙΑ!$B$2:$B$14)</f>
        <v>Μερική</v>
      </c>
      <c r="J105" t="str">
        <f t="shared" si="12"/>
        <v/>
      </c>
      <c r="K105">
        <f t="shared" si="13"/>
        <v>125</v>
      </c>
      <c r="L105" t="str">
        <f t="shared" si="10"/>
        <v>ΔΥΤΙΚΗΣ ΜΑΚΕΔΟΝΙΑΣ</v>
      </c>
      <c r="M105" t="str">
        <f t="shared" si="11"/>
        <v>ΔΥΤΙΚΗΣ ΜΑΚΕΔΟΝΙΑΣ - ΟΡΕΣΤΙΔΟΣ</v>
      </c>
      <c r="N105">
        <f t="shared" si="14"/>
        <v>14354</v>
      </c>
      <c r="O105" t="str">
        <f t="shared" si="15"/>
        <v>Ορεστίδος</v>
      </c>
    </row>
    <row r="106" spans="1:15" x14ac:dyDescent="0.3">
      <c r="A106">
        <v>105</v>
      </c>
      <c r="B106" t="s">
        <v>403</v>
      </c>
      <c r="C106" t="s">
        <v>373</v>
      </c>
      <c r="D106" t="s">
        <v>144</v>
      </c>
      <c r="E106" t="str">
        <f t="shared" si="8"/>
        <v xml:space="preserve">ΔΥΤΙΚΗΣ ΕΛΛΑΔΑΣ - ΔΥΤΙΚΗΣ ΑΧΑΪΑΣ, </v>
      </c>
      <c r="F106" t="s">
        <v>644</v>
      </c>
      <c r="G106">
        <v>14072</v>
      </c>
      <c r="H106" t="str">
        <f t="shared" si="9"/>
        <v>ΝΑΙ</v>
      </c>
      <c r="I106" t="str">
        <f>LOOKUP(B106,ΠΕΡΙΦΕΡΕΙΑ!$A$2:$A$14,ΠΕΡΙΦΕΡΕΙΑ!$B$2:$B$14)</f>
        <v>Μερική</v>
      </c>
      <c r="J106">
        <f t="shared" si="12"/>
        <v>105</v>
      </c>
      <c r="K106">
        <f t="shared" si="13"/>
        <v>127</v>
      </c>
      <c r="L106" t="str">
        <f t="shared" si="10"/>
        <v>ΔΥΤΙΚΗΣ ΜΑΚΕΔΟΝΙΑΣ</v>
      </c>
      <c r="M106" t="str">
        <f t="shared" si="11"/>
        <v>ΔΥΤΙΚΗΣ ΜΑΚΕΔΟΝΙΑΣ - ΣΕΡΒΙΩΝ – ΒΕΛΒΕΝΤΟΥ</v>
      </c>
      <c r="N106">
        <f t="shared" si="14"/>
        <v>14438</v>
      </c>
      <c r="O106" t="str">
        <f t="shared" si="15"/>
        <v>Σερβίων - Βελβεντού</v>
      </c>
    </row>
    <row r="107" spans="1:15" x14ac:dyDescent="0.3">
      <c r="A107">
        <v>106</v>
      </c>
      <c r="B107" t="s">
        <v>403</v>
      </c>
      <c r="C107" t="s">
        <v>373</v>
      </c>
      <c r="D107" t="s">
        <v>145</v>
      </c>
      <c r="E107" t="str">
        <f t="shared" si="8"/>
        <v xml:space="preserve">ΔΥΤΙΚΗΣ ΕΛΛΑΔΑΣ - ΕΡΥΜΑΝΘΟΥ, </v>
      </c>
      <c r="F107" t="s">
        <v>645</v>
      </c>
      <c r="G107">
        <v>14098</v>
      </c>
      <c r="H107" t="str">
        <f t="shared" si="9"/>
        <v>ΝΑΙ</v>
      </c>
      <c r="I107" t="str">
        <f>LOOKUP(B107,ΠΕΡΙΦΕΡΕΙΑ!$A$2:$A$14,ΠΕΡΙΦΕΡΕΙΑ!$B$2:$B$14)</f>
        <v>Μερική</v>
      </c>
      <c r="J107">
        <f t="shared" si="12"/>
        <v>106</v>
      </c>
      <c r="K107">
        <f t="shared" si="13"/>
        <v>128</v>
      </c>
      <c r="L107" t="str">
        <f t="shared" si="10"/>
        <v>ΔΥΤΙΚΗΣ ΜΑΚΕΔΟΝΙΑΣ</v>
      </c>
      <c r="M107" t="str">
        <f t="shared" si="11"/>
        <v>ΔΥΤΙΚΗΣ ΜΑΚΕΔΟΝΙΑΣ - ΦΛΩΡΙΝΑΣ</v>
      </c>
      <c r="N107">
        <f t="shared" si="14"/>
        <v>14520</v>
      </c>
      <c r="O107" t="str">
        <f t="shared" si="15"/>
        <v>Φλώρινας</v>
      </c>
    </row>
    <row r="108" spans="1:15" x14ac:dyDescent="0.3">
      <c r="A108">
        <v>107</v>
      </c>
      <c r="B108" t="s">
        <v>403</v>
      </c>
      <c r="C108" t="s">
        <v>374</v>
      </c>
      <c r="D108" t="s">
        <v>151</v>
      </c>
      <c r="E108" t="str">
        <f t="shared" si="8"/>
        <v xml:space="preserve">ΔΥΤΙΚΗΣ ΕΛΛΑΔΑΣ - ΖΑΧΑΡΩΣ, </v>
      </c>
      <c r="F108" t="s">
        <v>646</v>
      </c>
      <c r="G108">
        <v>14110</v>
      </c>
      <c r="H108" t="str">
        <f t="shared" si="9"/>
        <v>ΝΑΙ</v>
      </c>
      <c r="I108" t="str">
        <f>LOOKUP(B108,ΠΕΡΙΦΕΡΕΙΑ!$A$2:$A$14,ΠΕΡΙΦΕΡΕΙΑ!$B$2:$B$14)</f>
        <v>Μερική</v>
      </c>
      <c r="J108">
        <f t="shared" si="12"/>
        <v>107</v>
      </c>
      <c r="K108">
        <f t="shared" si="13"/>
        <v>129</v>
      </c>
      <c r="L108" t="str">
        <f t="shared" si="10"/>
        <v>ΗΠΕΙΡΟΥ</v>
      </c>
      <c r="M108" t="str">
        <f t="shared" si="11"/>
        <v>ΗΠΕΙΡΟΥ - ΑΡΤΑΙΩΝ</v>
      </c>
      <c r="N108">
        <f t="shared" si="14"/>
        <v>13998</v>
      </c>
      <c r="O108" t="str">
        <f t="shared" si="15"/>
        <v>Αρταίων</v>
      </c>
    </row>
    <row r="109" spans="1:15" x14ac:dyDescent="0.3">
      <c r="A109">
        <v>108</v>
      </c>
      <c r="B109" t="s">
        <v>403</v>
      </c>
      <c r="C109" t="s">
        <v>374</v>
      </c>
      <c r="D109" t="s">
        <v>152</v>
      </c>
      <c r="E109" t="str">
        <f t="shared" si="8"/>
        <v xml:space="preserve">ΔΥΤΙΚΗΣ ΕΛΛΑΔΑΣ - ΗΛΙΔΑΣ, </v>
      </c>
      <c r="F109" t="s">
        <v>647</v>
      </c>
      <c r="G109">
        <v>14118</v>
      </c>
      <c r="H109" t="str">
        <f t="shared" si="9"/>
        <v>ΝΑΙ</v>
      </c>
      <c r="I109" t="str">
        <f>LOOKUP(B109,ΠΕΡΙΦΕΡΕΙΑ!$A$2:$A$14,ΠΕΡΙΦΕΡΕΙΑ!$B$2:$B$14)</f>
        <v>Μερική</v>
      </c>
      <c r="J109">
        <f t="shared" si="12"/>
        <v>108</v>
      </c>
      <c r="K109">
        <f t="shared" si="13"/>
        <v>133</v>
      </c>
      <c r="L109" t="str">
        <f t="shared" si="10"/>
        <v>ΗΠΕΙΡΟΥ</v>
      </c>
      <c r="M109" t="str">
        <f t="shared" si="11"/>
        <v>ΗΠΕΙΡΟΥ - ΖΑΓΟΡΙΟΥ</v>
      </c>
      <c r="N109">
        <f t="shared" si="14"/>
        <v>14104</v>
      </c>
      <c r="O109" t="str">
        <f t="shared" si="15"/>
        <v>Ζαγορίου</v>
      </c>
    </row>
    <row r="110" spans="1:15" x14ac:dyDescent="0.3">
      <c r="A110">
        <v>109</v>
      </c>
      <c r="B110" t="s">
        <v>403</v>
      </c>
      <c r="C110" t="s">
        <v>372</v>
      </c>
      <c r="D110" t="s">
        <v>139</v>
      </c>
      <c r="E110" t="str">
        <f t="shared" si="8"/>
        <v xml:space="preserve">ΔΥΤΙΚΗΣ ΕΛΛΑΔΑΣ - ΘΕΡΜΟΥ, </v>
      </c>
      <c r="F110" t="s">
        <v>648</v>
      </c>
      <c r="G110">
        <v>14136</v>
      </c>
      <c r="H110" t="str">
        <f t="shared" si="9"/>
        <v>ΝΑΙ</v>
      </c>
      <c r="I110" t="str">
        <f>LOOKUP(B110,ΠΕΡΙΦΕΡΕΙΑ!$A$2:$A$14,ΠΕΡΙΦΕΡΕΙΑ!$B$2:$B$14)</f>
        <v>Μερική</v>
      </c>
      <c r="J110">
        <f t="shared" si="12"/>
        <v>109</v>
      </c>
      <c r="K110">
        <f t="shared" si="13"/>
        <v>134</v>
      </c>
      <c r="L110" t="str">
        <f t="shared" si="10"/>
        <v>ΗΠΕΙΡΟΥ</v>
      </c>
      <c r="M110" t="str">
        <f t="shared" si="11"/>
        <v>ΗΠΕΙΡΟΥ - ΖΗΡΟΥ</v>
      </c>
      <c r="N110">
        <f t="shared" si="14"/>
        <v>14112</v>
      </c>
      <c r="O110" t="str">
        <f t="shared" si="15"/>
        <v>Ζηρού</v>
      </c>
    </row>
    <row r="111" spans="1:15" x14ac:dyDescent="0.3">
      <c r="A111">
        <v>110</v>
      </c>
      <c r="B111" t="s">
        <v>403</v>
      </c>
      <c r="C111" t="s">
        <v>372</v>
      </c>
      <c r="D111" t="s">
        <v>140</v>
      </c>
      <c r="E111" t="str">
        <f t="shared" si="8"/>
        <v xml:space="preserve">ΔΥΤΙΚΗΣ ΕΛΛΑΔΑΣ - ΙΕΡΑΣ ΠΟΛΗΣ ΜΕΣΟΛΟΓΓΙΟΥ, </v>
      </c>
      <c r="F111" t="s">
        <v>649</v>
      </c>
      <c r="G111">
        <v>14142</v>
      </c>
      <c r="H111" t="str">
        <f t="shared" si="9"/>
        <v>ΝΑΙ</v>
      </c>
      <c r="I111" t="str">
        <f>LOOKUP(B111,ΠΕΡΙΦΕΡΕΙΑ!$A$2:$A$14,ΠΕΡΙΦΕΡΕΙΑ!$B$2:$B$14)</f>
        <v>Μερική</v>
      </c>
      <c r="J111">
        <f t="shared" si="12"/>
        <v>110</v>
      </c>
      <c r="K111">
        <f t="shared" si="13"/>
        <v>135</v>
      </c>
      <c r="L111" t="str">
        <f t="shared" si="10"/>
        <v>ΗΠΕΙΡΟΥ</v>
      </c>
      <c r="M111" t="str">
        <f t="shared" si="11"/>
        <v>ΗΠΕΙΡΟΥ - ΖΙΤΣΑΣ</v>
      </c>
      <c r="N111">
        <f t="shared" si="14"/>
        <v>14114</v>
      </c>
      <c r="O111" t="str">
        <f t="shared" si="15"/>
        <v>Ζίτσας</v>
      </c>
    </row>
    <row r="112" spans="1:15" x14ac:dyDescent="0.3">
      <c r="A112">
        <v>111</v>
      </c>
      <c r="B112" t="s">
        <v>403</v>
      </c>
      <c r="C112" t="s">
        <v>373</v>
      </c>
      <c r="D112" t="s">
        <v>146</v>
      </c>
      <c r="E112" t="str">
        <f t="shared" si="8"/>
        <v xml:space="preserve">ΔΥΤΙΚΗΣ ΕΛΛΑΔΑΣ - ΚΑΛΑΒΡΥΤΩΝ, </v>
      </c>
      <c r="F112" t="s">
        <v>650</v>
      </c>
      <c r="G112">
        <v>14174</v>
      </c>
      <c r="H112" t="str">
        <f t="shared" si="9"/>
        <v>ΝΑΙ</v>
      </c>
      <c r="I112" t="str">
        <f>LOOKUP(B112,ΠΕΡΙΦΕΡΕΙΑ!$A$2:$A$14,ΠΕΡΙΦΕΡΕΙΑ!$B$2:$B$14)</f>
        <v>Μερική</v>
      </c>
      <c r="J112">
        <f t="shared" si="12"/>
        <v>111</v>
      </c>
      <c r="K112">
        <f t="shared" si="13"/>
        <v>136</v>
      </c>
      <c r="L112" t="str">
        <f t="shared" si="10"/>
        <v>ΗΠΕΙΡΟΥ</v>
      </c>
      <c r="M112" t="str">
        <f t="shared" si="11"/>
        <v>ΗΠΕΙΡΟΥ - ΗΓΟΥΜΕΝΙΤΣΑΣ</v>
      </c>
      <c r="N112">
        <f t="shared" si="14"/>
        <v>14106</v>
      </c>
      <c r="O112" t="str">
        <f t="shared" si="15"/>
        <v>Ηγουμενίτσας</v>
      </c>
    </row>
    <row r="113" spans="1:15" x14ac:dyDescent="0.3">
      <c r="A113">
        <v>112</v>
      </c>
      <c r="B113" t="s">
        <v>403</v>
      </c>
      <c r="C113" t="s">
        <v>372</v>
      </c>
      <c r="D113" t="s">
        <v>141</v>
      </c>
      <c r="E113" t="str">
        <f t="shared" si="8"/>
        <v xml:space="preserve">ΔΥΤΙΚΗΣ ΕΛΛΑΔΑΣ - ΝΑΥΠΑΚΤΙΑΣ, </v>
      </c>
      <c r="F113" t="s">
        <v>651</v>
      </c>
      <c r="G113">
        <v>14312</v>
      </c>
      <c r="H113" t="str">
        <f t="shared" si="9"/>
        <v>ΝΑΙ</v>
      </c>
      <c r="I113" t="str">
        <f>LOOKUP(B113,ΠΕΡΙΦΕΡΕΙΑ!$A$2:$A$14,ΠΕΡΙΦΕΡΕΙΑ!$B$2:$B$14)</f>
        <v>Μερική</v>
      </c>
      <c r="J113">
        <f t="shared" si="12"/>
        <v>112</v>
      </c>
      <c r="K113">
        <f t="shared" si="13"/>
        <v>137</v>
      </c>
      <c r="L113" t="str">
        <f t="shared" si="10"/>
        <v>ΗΠΕΙΡΟΥ</v>
      </c>
      <c r="M113" t="str">
        <f t="shared" si="11"/>
        <v>ΗΠΕΙΡΟΥ - ΙΩΑΝΝΙΤΩΝ</v>
      </c>
      <c r="N113">
        <f t="shared" si="14"/>
        <v>14154</v>
      </c>
      <c r="O113" t="str">
        <f t="shared" si="15"/>
        <v>Ιωαννιτών</v>
      </c>
    </row>
    <row r="114" spans="1:15" x14ac:dyDescent="0.3">
      <c r="A114">
        <v>113</v>
      </c>
      <c r="B114" t="s">
        <v>403</v>
      </c>
      <c r="C114" t="s">
        <v>372</v>
      </c>
      <c r="D114" t="s">
        <v>142</v>
      </c>
      <c r="E114" t="str">
        <f t="shared" si="8"/>
        <v xml:space="preserve">ΔΥΤΙΚΗΣ ΕΛΛΑΔΑΣ - ΞΗΡΟΜΕΡΟΥ, </v>
      </c>
      <c r="F114" t="s">
        <v>652</v>
      </c>
      <c r="G114">
        <v>14344</v>
      </c>
      <c r="H114" t="str">
        <f t="shared" si="9"/>
        <v>ΝΑΙ</v>
      </c>
      <c r="I114" t="str">
        <f>LOOKUP(B114,ΠΕΡΙΦΕΡΕΙΑ!$A$2:$A$14,ΠΕΡΙΦΕΡΕΙΑ!$B$2:$B$14)</f>
        <v>Μερική</v>
      </c>
      <c r="J114">
        <f t="shared" si="12"/>
        <v>113</v>
      </c>
      <c r="K114">
        <f t="shared" si="13"/>
        <v>140</v>
      </c>
      <c r="L114" t="str">
        <f t="shared" si="10"/>
        <v>ΗΠΕΙΡΟΥ</v>
      </c>
      <c r="M114" t="str">
        <f t="shared" si="11"/>
        <v>ΗΠΕΙΡΟΥ - ΜΕΤΣΟΒΟΥ</v>
      </c>
      <c r="N114">
        <f t="shared" si="14"/>
        <v>14294</v>
      </c>
      <c r="O114" t="str">
        <f t="shared" si="15"/>
        <v>Μετσόβου</v>
      </c>
    </row>
    <row r="115" spans="1:15" x14ac:dyDescent="0.3">
      <c r="A115">
        <v>114</v>
      </c>
      <c r="B115" t="s">
        <v>403</v>
      </c>
      <c r="C115" t="s">
        <v>373</v>
      </c>
      <c r="D115" t="s">
        <v>147</v>
      </c>
      <c r="E115" t="str">
        <f t="shared" si="8"/>
        <v xml:space="preserve">ΔΥΤΙΚΗΣ ΕΛΛΑΔΑΣ - ΠΑΤΡΕΩΝ, </v>
      </c>
      <c r="F115" t="s">
        <v>653</v>
      </c>
      <c r="G115">
        <v>14366</v>
      </c>
      <c r="H115" t="str">
        <f t="shared" si="9"/>
        <v>ΝΑΙ</v>
      </c>
      <c r="I115" t="str">
        <f>LOOKUP(B115,ΠΕΡΙΦΕΡΕΙΑ!$A$2:$A$14,ΠΕΡΙΦΕΡΕΙΑ!$B$2:$B$14)</f>
        <v>Μερική</v>
      </c>
      <c r="J115">
        <f t="shared" si="12"/>
        <v>114</v>
      </c>
      <c r="K115">
        <f t="shared" si="13"/>
        <v>141</v>
      </c>
      <c r="L115" t="str">
        <f t="shared" si="10"/>
        <v>ΗΠΕΙΡΟΥ</v>
      </c>
      <c r="M115" t="str">
        <f t="shared" si="11"/>
        <v>ΗΠΕΙΡΟΥ - ΝΙΚΟΛΑΟΥ ΣΚΟΥΦΑ</v>
      </c>
      <c r="N115">
        <f t="shared" si="14"/>
        <v>14326</v>
      </c>
      <c r="O115" t="str">
        <f t="shared" si="15"/>
        <v>Νικολάου Σκουφά</v>
      </c>
    </row>
    <row r="116" spans="1:15" x14ac:dyDescent="0.3">
      <c r="A116">
        <v>115</v>
      </c>
      <c r="B116" t="s">
        <v>403</v>
      </c>
      <c r="C116" t="s">
        <v>374</v>
      </c>
      <c r="D116" t="s">
        <v>153</v>
      </c>
      <c r="E116" t="str">
        <f t="shared" si="8"/>
        <v xml:space="preserve">ΔΥΤΙΚΗΣ ΕΛΛΑΔΑΣ - ΠΗΝΕΙΟΥ, </v>
      </c>
      <c r="F116" t="s">
        <v>654</v>
      </c>
      <c r="G116">
        <v>14410</v>
      </c>
      <c r="H116" t="str">
        <f t="shared" si="9"/>
        <v/>
      </c>
      <c r="I116" t="str">
        <f>LOOKUP(B116,ΠΕΡΙΦΕΡΕΙΑ!$A$2:$A$14,ΠΕΡΙΦΕΡΕΙΑ!$B$2:$B$14)</f>
        <v>Μερική</v>
      </c>
      <c r="J116" t="str">
        <f t="shared" si="12"/>
        <v/>
      </c>
      <c r="K116">
        <f t="shared" si="13"/>
        <v>143</v>
      </c>
      <c r="L116" t="str">
        <f t="shared" si="10"/>
        <v>ΗΠΕΙΡΟΥ</v>
      </c>
      <c r="M116" t="str">
        <f t="shared" si="11"/>
        <v>ΗΠΕΙΡΟΥ - ΠΡΕΒΕΖΑΣ</v>
      </c>
      <c r="N116">
        <f t="shared" si="14"/>
        <v>14418</v>
      </c>
      <c r="O116" t="str">
        <f t="shared" si="15"/>
        <v>Πρέβεζας</v>
      </c>
    </row>
    <row r="117" spans="1:15" x14ac:dyDescent="0.3">
      <c r="A117">
        <v>116</v>
      </c>
      <c r="B117" t="s">
        <v>403</v>
      </c>
      <c r="C117" t="s">
        <v>374</v>
      </c>
      <c r="D117" t="s">
        <v>154</v>
      </c>
      <c r="E117" t="str">
        <f t="shared" si="8"/>
        <v xml:space="preserve">ΔΥΤΙΚΗΣ ΕΛΛΑΔΑΣ - ΠΥΡΓΟΥ, </v>
      </c>
      <c r="F117" t="s">
        <v>655</v>
      </c>
      <c r="G117">
        <v>14376</v>
      </c>
      <c r="H117" t="str">
        <f t="shared" si="9"/>
        <v>ΝΑΙ</v>
      </c>
      <c r="I117" t="str">
        <f>LOOKUP(B117,ΠΕΡΙΦΕΡΕΙΑ!$A$2:$A$14,ΠΕΡΙΦΕΡΕΙΑ!$B$2:$B$14)</f>
        <v>Μερική</v>
      </c>
      <c r="J117">
        <f t="shared" si="12"/>
        <v>116</v>
      </c>
      <c r="K117">
        <f t="shared" si="13"/>
        <v>144</v>
      </c>
      <c r="L117" t="str">
        <f t="shared" si="10"/>
        <v>ΗΠΕΙΡΟΥ</v>
      </c>
      <c r="M117" t="str">
        <f t="shared" si="11"/>
        <v>ΗΠΕΙΡΟΥ - ΠΩΓΩΝΙΟΥ</v>
      </c>
      <c r="N117">
        <f t="shared" si="14"/>
        <v>14378</v>
      </c>
      <c r="O117" t="str">
        <f t="shared" si="15"/>
        <v>Πωγωνίου</v>
      </c>
    </row>
    <row r="118" spans="1:15" x14ac:dyDescent="0.3">
      <c r="A118">
        <v>117</v>
      </c>
      <c r="B118" t="s">
        <v>404</v>
      </c>
      <c r="C118" t="s">
        <v>166</v>
      </c>
      <c r="D118" t="s">
        <v>164</v>
      </c>
      <c r="E118" t="str">
        <f t="shared" si="8"/>
        <v xml:space="preserve">ΔΥΤΙΚΗΣ ΜΑΚΕΔΟΝΙΑΣ - ΑΜΥΝΤΑΙΟΥ, </v>
      </c>
      <c r="F118" t="s">
        <v>656</v>
      </c>
      <c r="G118">
        <v>13970</v>
      </c>
      <c r="H118" t="str">
        <f t="shared" si="9"/>
        <v>ΝΑΙ</v>
      </c>
      <c r="I118" t="str">
        <f>LOOKUP(B118,ΠΕΡΙΦΕΡΕΙΑ!$A$2:$A$14,ΠΕΡΙΦΕΡΕΙΑ!$B$2:$B$14)</f>
        <v>Μερική</v>
      </c>
      <c r="J118">
        <f t="shared" si="12"/>
        <v>117</v>
      </c>
      <c r="K118">
        <f t="shared" si="13"/>
        <v>145</v>
      </c>
      <c r="L118" t="str">
        <f t="shared" si="10"/>
        <v>ΗΠΕΙΡΟΥ</v>
      </c>
      <c r="M118" t="str">
        <f t="shared" si="11"/>
        <v>ΗΠΕΙΡΟΥ - ΣΟΥΛΙΟΥ</v>
      </c>
      <c r="N118">
        <f t="shared" si="14"/>
        <v>14468</v>
      </c>
      <c r="O118" t="str">
        <f t="shared" si="15"/>
        <v>Σουλίου</v>
      </c>
    </row>
    <row r="119" spans="1:15" x14ac:dyDescent="0.3">
      <c r="A119">
        <v>118</v>
      </c>
      <c r="B119" t="s">
        <v>404</v>
      </c>
      <c r="C119" t="s">
        <v>162</v>
      </c>
      <c r="D119" t="s">
        <v>160</v>
      </c>
      <c r="E119" t="str">
        <f t="shared" si="8"/>
        <v xml:space="preserve">ΔΥΤΙΚΗΣ ΜΑΚΕΔΟΝΙΑΣ - ΒΟΪΟΥ, </v>
      </c>
      <c r="F119" t="s">
        <v>657</v>
      </c>
      <c r="G119">
        <v>14028</v>
      </c>
      <c r="H119" t="str">
        <f t="shared" si="9"/>
        <v>ΝΑΙ</v>
      </c>
      <c r="I119" t="str">
        <f>LOOKUP(B119,ΠΕΡΙΦΕΡΕΙΑ!$A$2:$A$14,ΠΕΡΙΦΕΡΕΙΑ!$B$2:$B$14)</f>
        <v>Μερική</v>
      </c>
      <c r="J119">
        <f t="shared" si="12"/>
        <v>118</v>
      </c>
      <c r="K119">
        <f t="shared" si="13"/>
        <v>146</v>
      </c>
      <c r="L119" t="str">
        <f t="shared" si="10"/>
        <v>ΗΠΕΙΡΟΥ</v>
      </c>
      <c r="M119" t="str">
        <f t="shared" si="11"/>
        <v>ΗΠΕΙΡΟΥ - ΦΙΛΙΑΤΩΝ</v>
      </c>
      <c r="N119">
        <f t="shared" si="14"/>
        <v>14516</v>
      </c>
      <c r="O119" t="str">
        <f t="shared" si="15"/>
        <v>Φιλιατών</v>
      </c>
    </row>
    <row r="120" spans="1:15" x14ac:dyDescent="0.3">
      <c r="A120">
        <v>119</v>
      </c>
      <c r="B120" t="s">
        <v>404</v>
      </c>
      <c r="C120" t="s">
        <v>155</v>
      </c>
      <c r="D120" t="s">
        <v>155</v>
      </c>
      <c r="E120" t="str">
        <f t="shared" si="8"/>
        <v xml:space="preserve">ΔΥΤΙΚΗΣ ΜΑΚΕΔΟΝΙΑΣ - ΓΡΕΒΕΝΩΝ, </v>
      </c>
      <c r="F120" t="s">
        <v>658</v>
      </c>
      <c r="G120">
        <v>14038</v>
      </c>
      <c r="H120" t="str">
        <f t="shared" si="9"/>
        <v>ΝΑΙ</v>
      </c>
      <c r="I120" t="str">
        <f>LOOKUP(B120,ΠΕΡΙΦΕΡΕΙΑ!$A$2:$A$14,ΠΕΡΙΦΕΡΕΙΑ!$B$2:$B$14)</f>
        <v>Μερική</v>
      </c>
      <c r="J120">
        <f t="shared" si="12"/>
        <v>119</v>
      </c>
      <c r="K120">
        <f t="shared" si="13"/>
        <v>147</v>
      </c>
      <c r="L120" t="str">
        <f t="shared" si="10"/>
        <v>ΘΕΣΣΑΛΙΑΣ</v>
      </c>
      <c r="M120" t="str">
        <f t="shared" si="11"/>
        <v>ΘΕΣΣΑΛΙΑΣ - ΑΓΙΑΣ</v>
      </c>
      <c r="N120">
        <f t="shared" si="14"/>
        <v>13938</v>
      </c>
      <c r="O120" t="str">
        <f t="shared" si="15"/>
        <v>Αγιάς</v>
      </c>
    </row>
    <row r="121" spans="1:15" x14ac:dyDescent="0.3">
      <c r="A121">
        <v>120</v>
      </c>
      <c r="B121" t="s">
        <v>404</v>
      </c>
      <c r="C121" t="s">
        <v>155</v>
      </c>
      <c r="D121" t="s">
        <v>156</v>
      </c>
      <c r="E121" t="str">
        <f t="shared" si="8"/>
        <v xml:space="preserve">ΔΥΤΙΚΗΣ ΜΑΚΕΔΟΝΙΑΣ - ΔΕΣΚΑΤΗΣ, </v>
      </c>
      <c r="F121" t="s">
        <v>659</v>
      </c>
      <c r="G121">
        <v>14054</v>
      </c>
      <c r="H121" t="str">
        <f t="shared" si="9"/>
        <v>ΝΑΙ</v>
      </c>
      <c r="I121" t="str">
        <f>LOOKUP(B121,ΠΕΡΙΦΕΡΕΙΑ!$A$2:$A$14,ΠΕΡΙΦΕΡΕΙΑ!$B$2:$B$14)</f>
        <v>Μερική</v>
      </c>
      <c r="J121">
        <f t="shared" si="12"/>
        <v>120</v>
      </c>
      <c r="K121">
        <f t="shared" si="13"/>
        <v>148</v>
      </c>
      <c r="L121" t="str">
        <f t="shared" si="10"/>
        <v>ΘΕΣΣΑΛΙΑΣ</v>
      </c>
      <c r="M121" t="str">
        <f t="shared" si="11"/>
        <v>ΘΕΣΣΑΛΙΑΣ - ΑΛΜΥΡΟΥ</v>
      </c>
      <c r="N121">
        <f t="shared" si="14"/>
        <v>13958</v>
      </c>
      <c r="O121" t="str">
        <f t="shared" si="15"/>
        <v>Αλμυρού</v>
      </c>
    </row>
    <row r="122" spans="1:15" x14ac:dyDescent="0.3">
      <c r="A122">
        <v>121</v>
      </c>
      <c r="B122" t="s">
        <v>404</v>
      </c>
      <c r="C122" t="s">
        <v>162</v>
      </c>
      <c r="D122" t="s">
        <v>161</v>
      </c>
      <c r="E122" t="str">
        <f t="shared" si="8"/>
        <v xml:space="preserve">ΔΥΤΙΚΗΣ ΜΑΚΕΔΟΝΙΑΣ - ΕΟΡΔΑΙΑΣ, </v>
      </c>
      <c r="F122" t="s">
        <v>660</v>
      </c>
      <c r="G122">
        <v>14090</v>
      </c>
      <c r="H122" t="str">
        <f t="shared" si="9"/>
        <v>ΝΑΙ</v>
      </c>
      <c r="I122" t="str">
        <f>LOOKUP(B122,ΠΕΡΙΦΕΡΕΙΑ!$A$2:$A$14,ΠΕΡΙΦΕΡΕΙΑ!$B$2:$B$14)</f>
        <v>Μερική</v>
      </c>
      <c r="J122">
        <f t="shared" si="12"/>
        <v>121</v>
      </c>
      <c r="K122">
        <f t="shared" si="13"/>
        <v>151</v>
      </c>
      <c r="L122" t="str">
        <f t="shared" si="10"/>
        <v>ΘΕΣΣΑΛΙΑΣ</v>
      </c>
      <c r="M122" t="str">
        <f t="shared" si="11"/>
        <v>ΘΕΣΣΑΛΙΑΣ - ΒΟΛΟΥ</v>
      </c>
      <c r="N122">
        <f t="shared" si="14"/>
        <v>14034</v>
      </c>
      <c r="O122" t="str">
        <f t="shared" si="15"/>
        <v>Βόλου</v>
      </c>
    </row>
    <row r="123" spans="1:15" x14ac:dyDescent="0.3">
      <c r="A123">
        <v>122</v>
      </c>
      <c r="B123" t="s">
        <v>404</v>
      </c>
      <c r="C123" t="s">
        <v>157</v>
      </c>
      <c r="D123" t="s">
        <v>157</v>
      </c>
      <c r="E123" t="str">
        <f t="shared" si="8"/>
        <v xml:space="preserve">ΔΥΤΙΚΗΣ ΜΑΚΕΔΟΝΙΑΣ - ΚΑΣΤΟΡΙΑΣ, </v>
      </c>
      <c r="F123" t="s">
        <v>661</v>
      </c>
      <c r="G123">
        <v>14160</v>
      </c>
      <c r="H123" t="str">
        <f t="shared" si="9"/>
        <v>ΝΑΙ</v>
      </c>
      <c r="I123" t="str">
        <f>LOOKUP(B123,ΠΕΡΙΦΕΡΕΙΑ!$A$2:$A$14,ΠΕΡΙΦΕΡΕΙΑ!$B$2:$B$14)</f>
        <v>Μερική</v>
      </c>
      <c r="J123">
        <f t="shared" si="12"/>
        <v>122</v>
      </c>
      <c r="K123">
        <f t="shared" si="13"/>
        <v>152</v>
      </c>
      <c r="L123" t="str">
        <f t="shared" si="10"/>
        <v>ΘΕΣΣΑΛΙΑΣ</v>
      </c>
      <c r="M123" t="str">
        <f t="shared" si="11"/>
        <v>ΘΕΣΣΑΛΙΑΣ - ΕΛΑΣΣΟΝΑΣ</v>
      </c>
      <c r="N123">
        <f t="shared" si="14"/>
        <v>14082</v>
      </c>
      <c r="O123" t="str">
        <f t="shared" si="15"/>
        <v>Ελασσόνας</v>
      </c>
    </row>
    <row r="124" spans="1:15" x14ac:dyDescent="0.3">
      <c r="A124">
        <v>123</v>
      </c>
      <c r="B124" t="s">
        <v>404</v>
      </c>
      <c r="C124" t="s">
        <v>162</v>
      </c>
      <c r="D124" t="s">
        <v>162</v>
      </c>
      <c r="E124" t="str">
        <f t="shared" si="8"/>
        <v xml:space="preserve">ΔΥΤΙΚΗΣ ΜΑΚΕΔΟΝΙΑΣ - ΚΟΖΑΝΗΣ, </v>
      </c>
      <c r="F124" t="s">
        <v>662</v>
      </c>
      <c r="G124">
        <v>14218</v>
      </c>
      <c r="H124" t="str">
        <f t="shared" si="9"/>
        <v>ΝΑΙ</v>
      </c>
      <c r="I124" t="str">
        <f>LOOKUP(B124,ΠΕΡΙΦΕΡΕΙΑ!$A$2:$A$14,ΠΕΡΙΦΕΡΕΙΑ!$B$2:$B$14)</f>
        <v>Μερική</v>
      </c>
      <c r="J124">
        <f t="shared" si="12"/>
        <v>123</v>
      </c>
      <c r="K124">
        <f t="shared" si="13"/>
        <v>154</v>
      </c>
      <c r="L124" t="str">
        <f t="shared" si="10"/>
        <v>ΘΕΣΣΑΛΙΑΣ</v>
      </c>
      <c r="M124" t="str">
        <f t="shared" si="11"/>
        <v>ΘΕΣΣΑΛΙΑΣ - ΚΑΛΑΜΠΑΚΑΣ</v>
      </c>
      <c r="N124">
        <f t="shared" si="14"/>
        <v>14182</v>
      </c>
      <c r="O124" t="str">
        <f t="shared" si="15"/>
        <v>Καλαμπάκας</v>
      </c>
    </row>
    <row r="125" spans="1:15" x14ac:dyDescent="0.3">
      <c r="A125">
        <v>124</v>
      </c>
      <c r="B125" t="s">
        <v>404</v>
      </c>
      <c r="C125" t="s">
        <v>157</v>
      </c>
      <c r="D125" t="s">
        <v>158</v>
      </c>
      <c r="E125" t="str">
        <f t="shared" si="8"/>
        <v xml:space="preserve">ΔΥΤΙΚΗΣ ΜΑΚΕΔΟΝΙΑΣ - ΝΕΣΤΟΡΙΟΥ, </v>
      </c>
      <c r="F125" t="s">
        <v>663</v>
      </c>
      <c r="G125">
        <v>14324</v>
      </c>
      <c r="H125" t="str">
        <f t="shared" si="9"/>
        <v>ΝΑΙ</v>
      </c>
      <c r="I125" t="str">
        <f>LOOKUP(B125,ΠΕΡΙΦΕΡΕΙΑ!$A$2:$A$14,ΠΕΡΙΦΕΡΕΙΑ!$B$2:$B$14)</f>
        <v>Μερική</v>
      </c>
      <c r="J125">
        <f t="shared" si="12"/>
        <v>124</v>
      </c>
      <c r="K125">
        <f t="shared" si="13"/>
        <v>155</v>
      </c>
      <c r="L125" t="str">
        <f t="shared" si="10"/>
        <v>ΘΕΣΣΑΛΙΑΣ</v>
      </c>
      <c r="M125" t="str">
        <f t="shared" si="11"/>
        <v>ΘΕΣΣΑΛΙΑΣ - ΚΑΡΔΙΤΣΑΣ</v>
      </c>
      <c r="N125">
        <f t="shared" si="14"/>
        <v>14188</v>
      </c>
      <c r="O125" t="str">
        <f t="shared" si="15"/>
        <v>Καρδίτσας</v>
      </c>
    </row>
    <row r="126" spans="1:15" x14ac:dyDescent="0.3">
      <c r="A126">
        <v>125</v>
      </c>
      <c r="B126" t="s">
        <v>404</v>
      </c>
      <c r="C126" t="s">
        <v>157</v>
      </c>
      <c r="D126" t="s">
        <v>159</v>
      </c>
      <c r="E126" t="str">
        <f t="shared" si="8"/>
        <v xml:space="preserve">ΔΥΤΙΚΗΣ ΜΑΚΕΔΟΝΙΑΣ - ΟΡΕΣΤΙΔΟΣ, </v>
      </c>
      <c r="F126" t="s">
        <v>664</v>
      </c>
      <c r="G126">
        <v>14354</v>
      </c>
      <c r="H126" t="str">
        <f t="shared" si="9"/>
        <v>ΝΑΙ</v>
      </c>
      <c r="I126" t="str">
        <f>LOOKUP(B126,ΠΕΡΙΦΕΡΕΙΑ!$A$2:$A$14,ΠΕΡΙΦΕΡΕΙΑ!$B$2:$B$14)</f>
        <v>Μερική</v>
      </c>
      <c r="J126">
        <f t="shared" si="12"/>
        <v>125</v>
      </c>
      <c r="K126">
        <f t="shared" si="13"/>
        <v>156</v>
      </c>
      <c r="L126" t="str">
        <f t="shared" si="10"/>
        <v>ΘΕΣΣΑΛΙΑΣ</v>
      </c>
      <c r="M126" t="str">
        <f t="shared" si="11"/>
        <v>ΘΕΣΣΑΛΙΑΣ - ΚΙΛΕΛΕΡ</v>
      </c>
      <c r="N126">
        <f t="shared" si="14"/>
        <v>14210</v>
      </c>
      <c r="O126" t="str">
        <f t="shared" si="15"/>
        <v>Κιλελέρ</v>
      </c>
    </row>
    <row r="127" spans="1:15" x14ac:dyDescent="0.3">
      <c r="A127">
        <v>126</v>
      </c>
      <c r="B127" t="s">
        <v>404</v>
      </c>
      <c r="C127" t="s">
        <v>166</v>
      </c>
      <c r="D127" t="s">
        <v>165</v>
      </c>
      <c r="E127" t="str">
        <f t="shared" si="8"/>
        <v xml:space="preserve">ΔΥΤΙΚΗΣ ΜΑΚΕΔΟΝΙΑΣ - ΠΡΕΣΠΩΝ, </v>
      </c>
      <c r="F127" t="s">
        <v>665</v>
      </c>
      <c r="G127">
        <v>14372</v>
      </c>
      <c r="H127" t="str">
        <f t="shared" si="9"/>
        <v/>
      </c>
      <c r="I127" t="str">
        <f>LOOKUP(B127,ΠΕΡΙΦΕΡΕΙΑ!$A$2:$A$14,ΠΕΡΙΦΕΡΕΙΑ!$B$2:$B$14)</f>
        <v>Μερική</v>
      </c>
      <c r="J127" t="str">
        <f t="shared" si="12"/>
        <v/>
      </c>
      <c r="K127">
        <f t="shared" si="13"/>
        <v>157</v>
      </c>
      <c r="L127" t="str">
        <f t="shared" si="10"/>
        <v>ΘΕΣΣΑΛΙΑΣ</v>
      </c>
      <c r="M127" t="str">
        <f t="shared" si="11"/>
        <v>ΘΕΣΣΑΛΙΑΣ - ΛΑΡΙΣΑΙΩΝ</v>
      </c>
      <c r="N127">
        <f t="shared" si="14"/>
        <v>14246</v>
      </c>
      <c r="O127" t="str">
        <f t="shared" si="15"/>
        <v>Λαρισαίων</v>
      </c>
    </row>
    <row r="128" spans="1:15" x14ac:dyDescent="0.3">
      <c r="A128">
        <v>127</v>
      </c>
      <c r="B128" t="s">
        <v>404</v>
      </c>
      <c r="C128" t="s">
        <v>162</v>
      </c>
      <c r="D128" t="s">
        <v>163</v>
      </c>
      <c r="E128" t="str">
        <f t="shared" si="8"/>
        <v xml:space="preserve">ΔΥΤΙΚΗΣ ΜΑΚΕΔΟΝΙΑΣ - ΣΕΡΒΙΩΝ – ΒΕΛΒΕΝΤΟΥ, </v>
      </c>
      <c r="F128" t="s">
        <v>666</v>
      </c>
      <c r="G128">
        <v>14438</v>
      </c>
      <c r="H128" t="str">
        <f t="shared" si="9"/>
        <v>ΝΑΙ</v>
      </c>
      <c r="I128" t="str">
        <f>LOOKUP(B128,ΠΕΡΙΦΕΡΕΙΑ!$A$2:$A$14,ΠΕΡΙΦΕΡΕΙΑ!$B$2:$B$14)</f>
        <v>Μερική</v>
      </c>
      <c r="J128">
        <f t="shared" si="12"/>
        <v>127</v>
      </c>
      <c r="K128">
        <f t="shared" si="13"/>
        <v>159</v>
      </c>
      <c r="L128" t="str">
        <f t="shared" si="10"/>
        <v>ΘΕΣΣΑΛΙΑΣ</v>
      </c>
      <c r="M128" t="str">
        <f t="shared" si="11"/>
        <v>ΘΕΣΣΑΛΙΑΣ - ΜΟΥΖΑΚΙΟΥ</v>
      </c>
      <c r="N128">
        <f t="shared" si="14"/>
        <v>14302</v>
      </c>
      <c r="O128" t="str">
        <f t="shared" si="15"/>
        <v>Μουζακίου</v>
      </c>
    </row>
    <row r="129" spans="1:15" x14ac:dyDescent="0.3">
      <c r="A129">
        <v>128</v>
      </c>
      <c r="B129" t="s">
        <v>404</v>
      </c>
      <c r="C129" t="s">
        <v>166</v>
      </c>
      <c r="D129" t="s">
        <v>166</v>
      </c>
      <c r="E129" t="str">
        <f t="shared" si="8"/>
        <v xml:space="preserve">ΔΥΤΙΚΗΣ ΜΑΚΕΔΟΝΙΑΣ - ΦΛΩΡΙΝΑΣ, </v>
      </c>
      <c r="F129" t="s">
        <v>667</v>
      </c>
      <c r="G129">
        <v>14520</v>
      </c>
      <c r="H129" t="str">
        <f t="shared" si="9"/>
        <v>ΝΑΙ</v>
      </c>
      <c r="I129" t="str">
        <f>LOOKUP(B129,ΠΕΡΙΦΕΡΕΙΑ!$A$2:$A$14,ΠΕΡΙΦΕΡΕΙΑ!$B$2:$B$14)</f>
        <v>Μερική</v>
      </c>
      <c r="J129">
        <f t="shared" si="12"/>
        <v>128</v>
      </c>
      <c r="K129">
        <f t="shared" si="13"/>
        <v>160</v>
      </c>
      <c r="L129" t="str">
        <f t="shared" si="10"/>
        <v>ΘΕΣΣΑΛΙΑΣ</v>
      </c>
      <c r="M129" t="str">
        <f t="shared" si="11"/>
        <v>ΘΕΣΣΑΛΙΑΣ - ΝΟΤΙΟΥ ΠΗΛΙΟΥ</v>
      </c>
      <c r="N129">
        <f t="shared" si="14"/>
        <v>14342</v>
      </c>
      <c r="O129" t="str">
        <f t="shared" si="15"/>
        <v>Νοτίου Πηλίου</v>
      </c>
    </row>
    <row r="130" spans="1:15" x14ac:dyDescent="0.3">
      <c r="A130">
        <v>129</v>
      </c>
      <c r="B130" t="s">
        <v>405</v>
      </c>
      <c r="C130" t="s">
        <v>375</v>
      </c>
      <c r="D130" t="s">
        <v>167</v>
      </c>
      <c r="E130" t="str">
        <f t="shared" ref="E130:E193" si="16">B130&amp;" - "&amp;D130&amp;", "</f>
        <v xml:space="preserve">ΗΠΕΙΡΟΥ - ΑΡΤΑΙΩΝ, </v>
      </c>
      <c r="F130" t="s">
        <v>668</v>
      </c>
      <c r="G130">
        <v>13998</v>
      </c>
      <c r="H130" t="str">
        <f t="shared" ref="H130:H193" si="17">_xlfn.IFNA(INDEX(DimosNaiOxi,MATCH(E130,DimosNai,0)),"")</f>
        <v>ΝΑΙ</v>
      </c>
      <c r="I130" t="str">
        <f>LOOKUP(B130,ΠΕΡΙΦΕΡΕΙΑ!$A$2:$A$14,ΠΕΡΙΦΕΡΕΙΑ!$B$2:$B$14)</f>
        <v>Μερική</v>
      </c>
      <c r="J130">
        <f t="shared" si="12"/>
        <v>129</v>
      </c>
      <c r="K130">
        <f t="shared" si="13"/>
        <v>161</v>
      </c>
      <c r="L130" t="str">
        <f t="shared" ref="L130:L193" si="18">IF(ISNUMBER(K130),LOOKUP(K130,A:A,B:B),"")</f>
        <v>ΘΕΣΣΑΛΙΑΣ</v>
      </c>
      <c r="M130" t="str">
        <f t="shared" ref="M130:M193" si="19">IF(ISNUMBER(K130),LOOKUP(K130,A:A,B:B)&amp;" - "&amp;LOOKUP(K130,A:A,D:D),"")</f>
        <v>ΘΕΣΣΑΛΙΑΣ - ΠΑΛΑΜΑ</v>
      </c>
      <c r="N130">
        <f t="shared" si="14"/>
        <v>14388</v>
      </c>
      <c r="O130" t="str">
        <f t="shared" si="15"/>
        <v>Παλαμά</v>
      </c>
    </row>
    <row r="131" spans="1:15" x14ac:dyDescent="0.3">
      <c r="A131">
        <v>130</v>
      </c>
      <c r="B131" t="s">
        <v>405</v>
      </c>
      <c r="C131" t="s">
        <v>377</v>
      </c>
      <c r="D131" t="s">
        <v>174</v>
      </c>
      <c r="E131" t="str">
        <f t="shared" si="16"/>
        <v xml:space="preserve">ΗΠΕΙΡΟΥ - ΒΟΡΕΙΩΝ ΤΖΟΥΜΕΡΚΩΝ, </v>
      </c>
      <c r="F131" t="s">
        <v>669</v>
      </c>
      <c r="G131">
        <v>14022</v>
      </c>
      <c r="H131" t="str">
        <f t="shared" si="17"/>
        <v/>
      </c>
      <c r="I131" t="str">
        <f>LOOKUP(B131,ΠΕΡΙΦΕΡΕΙΑ!$A$2:$A$14,ΠΕΡΙΦΕΡΕΙΑ!$B$2:$B$14)</f>
        <v>Μερική</v>
      </c>
      <c r="J131" t="str">
        <f t="shared" ref="J131:J194" si="20">IF(OR(AND(I131="Μερική",H131="ΝΑΙ"),I131="Ολική"),A131,"")</f>
        <v/>
      </c>
      <c r="K131">
        <f t="shared" ref="K131:K194" si="21">SMALL(J:J,A131)</f>
        <v>163</v>
      </c>
      <c r="L131" t="str">
        <f t="shared" si="18"/>
        <v>ΘΕΣΣΑΛΙΑΣ</v>
      </c>
      <c r="M131" t="str">
        <f t="shared" si="19"/>
        <v>ΘΕΣΣΑΛΙΑΣ - ΡΗΓΑ ΦΕΡΑΙΟΥ</v>
      </c>
      <c r="N131">
        <f t="shared" ref="N131:N194" si="22">IF(ISNUMBER(K131),LOOKUP(K131,A:A,G:G),"")</f>
        <v>14434</v>
      </c>
      <c r="O131" t="str">
        <f t="shared" ref="O131:O194" si="23">IF(ISNUMBER(K131),LOOKUP(K131,A:A,F:F),"")</f>
        <v>Ρήγα Φερραίου</v>
      </c>
    </row>
    <row r="132" spans="1:15" x14ac:dyDescent="0.3">
      <c r="A132">
        <v>131</v>
      </c>
      <c r="B132" t="s">
        <v>405</v>
      </c>
      <c r="C132" t="s">
        <v>375</v>
      </c>
      <c r="D132" t="s">
        <v>168</v>
      </c>
      <c r="E132" t="str">
        <f t="shared" si="16"/>
        <v xml:space="preserve">ΗΠΕΙΡΟΥ - ΓΕΩΡΓΙΟΥ ΚΑΡΑΪΣΚΑΚΗ, </v>
      </c>
      <c r="F132" t="s">
        <v>670</v>
      </c>
      <c r="G132">
        <v>14042</v>
      </c>
      <c r="H132" t="str">
        <f t="shared" si="17"/>
        <v/>
      </c>
      <c r="I132" t="str">
        <f>LOOKUP(B132,ΠΕΡΙΦΕΡΕΙΑ!$A$2:$A$14,ΠΕΡΙΦΕΡΕΙΑ!$B$2:$B$14)</f>
        <v>Μερική</v>
      </c>
      <c r="J132" t="str">
        <f t="shared" si="20"/>
        <v/>
      </c>
      <c r="K132">
        <f t="shared" si="21"/>
        <v>164</v>
      </c>
      <c r="L132" t="str">
        <f t="shared" si="18"/>
        <v>ΘΕΣΣΑΛΙΑΣ</v>
      </c>
      <c r="M132" t="str">
        <f t="shared" si="19"/>
        <v>ΘΕΣΣΑΛΙΑΣ - ΣΚΙΑΘΟΥ</v>
      </c>
      <c r="N132">
        <f t="shared" si="22"/>
        <v>14466</v>
      </c>
      <c r="O132" t="str">
        <f t="shared" si="23"/>
        <v>Σκιάθου</v>
      </c>
    </row>
    <row r="133" spans="1:15" x14ac:dyDescent="0.3">
      <c r="A133">
        <v>132</v>
      </c>
      <c r="B133" t="s">
        <v>405</v>
      </c>
      <c r="C133" t="s">
        <v>377</v>
      </c>
      <c r="D133" t="s">
        <v>175</v>
      </c>
      <c r="E133" t="str">
        <f t="shared" si="16"/>
        <v xml:space="preserve">ΗΠΕΙΡΟΥ - ΔΩΔΩΝΗΣ, </v>
      </c>
      <c r="F133" t="s">
        <v>671</v>
      </c>
      <c r="G133">
        <v>14076</v>
      </c>
      <c r="H133" t="str">
        <f t="shared" si="17"/>
        <v/>
      </c>
      <c r="I133" t="str">
        <f>LOOKUP(B133,ΠΕΡΙΦΕΡΕΙΑ!$A$2:$A$14,ΠΕΡΙΦΕΡΕΙΑ!$B$2:$B$14)</f>
        <v>Μερική</v>
      </c>
      <c r="J133" t="str">
        <f t="shared" si="20"/>
        <v/>
      </c>
      <c r="K133">
        <f t="shared" si="21"/>
        <v>166</v>
      </c>
      <c r="L133" t="str">
        <f t="shared" si="18"/>
        <v>ΘΕΣΣΑΛΙΑΣ</v>
      </c>
      <c r="M133" t="str">
        <f t="shared" si="19"/>
        <v>ΘΕΣΣΑΛΙΑΣ - ΣΟΦΑΔΩΝ</v>
      </c>
      <c r="N133">
        <f t="shared" si="22"/>
        <v>14476</v>
      </c>
      <c r="O133" t="str">
        <f t="shared" si="23"/>
        <v>Σοφάδων</v>
      </c>
    </row>
    <row r="134" spans="1:15" x14ac:dyDescent="0.3">
      <c r="A134">
        <v>133</v>
      </c>
      <c r="B134" t="s">
        <v>405</v>
      </c>
      <c r="C134" t="s">
        <v>377</v>
      </c>
      <c r="D134" t="s">
        <v>176</v>
      </c>
      <c r="E134" t="str">
        <f t="shared" si="16"/>
        <v xml:space="preserve">ΗΠΕΙΡΟΥ - ΖΑΓΟΡΙΟΥ, </v>
      </c>
      <c r="F134" t="s">
        <v>672</v>
      </c>
      <c r="G134">
        <v>14104</v>
      </c>
      <c r="H134" t="str">
        <f t="shared" si="17"/>
        <v>ΝΑΙ</v>
      </c>
      <c r="I134" t="str">
        <f>LOOKUP(B134,ΠΕΡΙΦΕΡΕΙΑ!$A$2:$A$14,ΠΕΡΙΦΕΡΕΙΑ!$B$2:$B$14)</f>
        <v>Μερική</v>
      </c>
      <c r="J134">
        <f t="shared" si="20"/>
        <v>133</v>
      </c>
      <c r="K134">
        <f t="shared" si="21"/>
        <v>167</v>
      </c>
      <c r="L134" t="str">
        <f t="shared" si="18"/>
        <v>ΘΕΣΣΑΛΙΑΣ</v>
      </c>
      <c r="M134" t="str">
        <f t="shared" si="19"/>
        <v>ΘΕΣΣΑΛΙΑΣ - ΤΕΜΠΩΝ</v>
      </c>
      <c r="N134">
        <f t="shared" si="22"/>
        <v>14490</v>
      </c>
      <c r="O134" t="str">
        <f t="shared" si="23"/>
        <v>Τεμπών</v>
      </c>
    </row>
    <row r="135" spans="1:15" x14ac:dyDescent="0.3">
      <c r="A135">
        <v>134</v>
      </c>
      <c r="B135" t="s">
        <v>405</v>
      </c>
      <c r="C135" t="s">
        <v>184</v>
      </c>
      <c r="D135" t="s">
        <v>182</v>
      </c>
      <c r="E135" t="str">
        <f t="shared" si="16"/>
        <v xml:space="preserve">ΗΠΕΙΡΟΥ - ΖΗΡΟΥ, </v>
      </c>
      <c r="F135" t="s">
        <v>673</v>
      </c>
      <c r="G135">
        <v>14112</v>
      </c>
      <c r="H135" t="str">
        <f t="shared" si="17"/>
        <v>ΝΑΙ</v>
      </c>
      <c r="I135" t="str">
        <f>LOOKUP(B135,ΠΕΡΙΦΕΡΕΙΑ!$A$2:$A$14,ΠΕΡΙΦΕΡΕΙΑ!$B$2:$B$14)</f>
        <v>Μερική</v>
      </c>
      <c r="J135">
        <f t="shared" si="20"/>
        <v>134</v>
      </c>
      <c r="K135">
        <f t="shared" si="21"/>
        <v>168</v>
      </c>
      <c r="L135" t="str">
        <f t="shared" si="18"/>
        <v>ΘΕΣΣΑΛΙΑΣ</v>
      </c>
      <c r="M135" t="str">
        <f t="shared" si="19"/>
        <v>ΘΕΣΣΑΛΙΑΣ - ΤΡΙΚΚΑΙΩΝ</v>
      </c>
      <c r="N135">
        <f t="shared" si="22"/>
        <v>14494</v>
      </c>
      <c r="O135" t="str">
        <f t="shared" si="23"/>
        <v>Τρικκαίων</v>
      </c>
    </row>
    <row r="136" spans="1:15" x14ac:dyDescent="0.3">
      <c r="A136">
        <v>135</v>
      </c>
      <c r="B136" t="s">
        <v>405</v>
      </c>
      <c r="C136" t="s">
        <v>377</v>
      </c>
      <c r="D136" t="s">
        <v>177</v>
      </c>
      <c r="E136" t="str">
        <f t="shared" si="16"/>
        <v xml:space="preserve">ΗΠΕΙΡΟΥ - ΖΙΤΣΑΣ, </v>
      </c>
      <c r="F136" t="s">
        <v>674</v>
      </c>
      <c r="G136">
        <v>14114</v>
      </c>
      <c r="H136" t="str">
        <f t="shared" si="17"/>
        <v>ΝΑΙ</v>
      </c>
      <c r="I136" t="str">
        <f>LOOKUP(B136,ΠΕΡΙΦΕΡΕΙΑ!$A$2:$A$14,ΠΕΡΙΦΕΡΕΙΑ!$B$2:$B$14)</f>
        <v>Μερική</v>
      </c>
      <c r="J136">
        <f t="shared" si="20"/>
        <v>135</v>
      </c>
      <c r="K136">
        <f t="shared" si="21"/>
        <v>169</v>
      </c>
      <c r="L136" t="str">
        <f t="shared" si="18"/>
        <v>ΘΕΣΣΑΛΙΑΣ</v>
      </c>
      <c r="M136" t="str">
        <f t="shared" si="19"/>
        <v>ΘΕΣΣΑΛΙΑΣ - ΤΥΡΝΑΒΟΥ</v>
      </c>
      <c r="N136">
        <f t="shared" si="22"/>
        <v>14506</v>
      </c>
      <c r="O136" t="str">
        <f t="shared" si="23"/>
        <v>Τυρνάβου</v>
      </c>
    </row>
    <row r="137" spans="1:15" x14ac:dyDescent="0.3">
      <c r="A137">
        <v>136</v>
      </c>
      <c r="B137" t="s">
        <v>405</v>
      </c>
      <c r="C137" t="s">
        <v>376</v>
      </c>
      <c r="D137" t="s">
        <v>171</v>
      </c>
      <c r="E137" t="str">
        <f t="shared" si="16"/>
        <v xml:space="preserve">ΗΠΕΙΡΟΥ - ΗΓΟΥΜΕΝΙΤΣΑΣ, </v>
      </c>
      <c r="F137" t="s">
        <v>675</v>
      </c>
      <c r="G137">
        <v>14106</v>
      </c>
      <c r="H137" t="str">
        <f t="shared" si="17"/>
        <v>ΝΑΙ</v>
      </c>
      <c r="I137" t="str">
        <f>LOOKUP(B137,ΠΕΡΙΦΕΡΕΙΑ!$A$2:$A$14,ΠΕΡΙΦΕΡΕΙΑ!$B$2:$B$14)</f>
        <v>Μερική</v>
      </c>
      <c r="J137">
        <f t="shared" si="20"/>
        <v>136</v>
      </c>
      <c r="K137">
        <f t="shared" si="21"/>
        <v>170</v>
      </c>
      <c r="L137" t="str">
        <f t="shared" si="18"/>
        <v>ΘΕΣΣΑΛΙΑΣ</v>
      </c>
      <c r="M137" t="str">
        <f t="shared" si="19"/>
        <v>ΘΕΣΣΑΛΙΑΣ - ΦΑΡΚΑΔΟΝΑΣ</v>
      </c>
      <c r="N137">
        <f t="shared" si="22"/>
        <v>13916</v>
      </c>
      <c r="O137" t="str">
        <f t="shared" si="23"/>
        <v>Φαρκαδόνας</v>
      </c>
    </row>
    <row r="138" spans="1:15" x14ac:dyDescent="0.3">
      <c r="A138">
        <v>137</v>
      </c>
      <c r="B138" t="s">
        <v>405</v>
      </c>
      <c r="C138" t="s">
        <v>377</v>
      </c>
      <c r="D138" t="s">
        <v>178</v>
      </c>
      <c r="E138" t="str">
        <f t="shared" si="16"/>
        <v xml:space="preserve">ΗΠΕΙΡΟΥ - ΙΩΑΝΝΙΤΩΝ, </v>
      </c>
      <c r="F138" t="s">
        <v>676</v>
      </c>
      <c r="G138">
        <v>14154</v>
      </c>
      <c r="H138" t="str">
        <f t="shared" si="17"/>
        <v>ΝΑΙ</v>
      </c>
      <c r="I138" t="str">
        <f>LOOKUP(B138,ΠΕΡΙΦΕΡΕΙΑ!$A$2:$A$14,ΠΕΡΙΦΕΡΕΙΑ!$B$2:$B$14)</f>
        <v>Μερική</v>
      </c>
      <c r="J138">
        <f t="shared" si="20"/>
        <v>137</v>
      </c>
      <c r="K138">
        <f t="shared" si="21"/>
        <v>171</v>
      </c>
      <c r="L138" t="str">
        <f t="shared" si="18"/>
        <v>ΘΕΣΣΑΛΙΑΣ</v>
      </c>
      <c r="M138" t="str">
        <f t="shared" si="19"/>
        <v>ΘΕΣΣΑΛΙΑΣ - ΦΑΡΣΑΛΩΝ</v>
      </c>
      <c r="N138">
        <f t="shared" si="22"/>
        <v>14512</v>
      </c>
      <c r="O138" t="str">
        <f t="shared" si="23"/>
        <v>Φαρσάλων</v>
      </c>
    </row>
    <row r="139" spans="1:15" x14ac:dyDescent="0.3">
      <c r="A139">
        <v>138</v>
      </c>
      <c r="B139" t="s">
        <v>405</v>
      </c>
      <c r="C139" t="s">
        <v>375</v>
      </c>
      <c r="D139" t="s">
        <v>169</v>
      </c>
      <c r="E139" t="str">
        <f t="shared" si="16"/>
        <v xml:space="preserve">ΗΠΕΙΡΟΥ - ΚΕΝΤΡΙΚΩΝ ΤΖΟΥΜΕΡΚΩΝ, </v>
      </c>
      <c r="F139" t="s">
        <v>677</v>
      </c>
      <c r="G139">
        <v>14162</v>
      </c>
      <c r="H139" t="str">
        <f t="shared" si="17"/>
        <v/>
      </c>
      <c r="I139" t="str">
        <f>LOOKUP(B139,ΠΕΡΙΦΕΡΕΙΑ!$A$2:$A$14,ΠΕΡΙΦΕΡΕΙΑ!$B$2:$B$14)</f>
        <v>Μερική</v>
      </c>
      <c r="J139" t="str">
        <f t="shared" si="20"/>
        <v/>
      </c>
      <c r="K139">
        <f t="shared" si="21"/>
        <v>172</v>
      </c>
      <c r="L139" t="str">
        <f t="shared" si="18"/>
        <v>ΙΟΝΙΩΝ ΝΗΣΩΝ</v>
      </c>
      <c r="M139" t="str">
        <f t="shared" si="19"/>
        <v>ΙΟΝΙΩΝ ΝΗΣΩΝ - ΖΑΚΥΝΘΟΥ</v>
      </c>
      <c r="N139">
        <f t="shared" si="22"/>
        <v>14108</v>
      </c>
      <c r="O139" t="str">
        <f t="shared" si="23"/>
        <v>Ζακύνθου</v>
      </c>
    </row>
    <row r="140" spans="1:15" x14ac:dyDescent="0.3">
      <c r="A140">
        <v>139</v>
      </c>
      <c r="B140" t="s">
        <v>405</v>
      </c>
      <c r="C140" t="s">
        <v>377</v>
      </c>
      <c r="D140" t="s">
        <v>179</v>
      </c>
      <c r="E140" t="str">
        <f t="shared" si="16"/>
        <v xml:space="preserve">ΗΠΕΙΡΟΥ - ΚΟΝΙΤΣΑΣ, </v>
      </c>
      <c r="F140" t="s">
        <v>678</v>
      </c>
      <c r="G140">
        <v>14222</v>
      </c>
      <c r="H140" t="str">
        <f t="shared" si="17"/>
        <v/>
      </c>
      <c r="I140" t="str">
        <f>LOOKUP(B140,ΠΕΡΙΦΕΡΕΙΑ!$A$2:$A$14,ΠΕΡΙΦΕΡΕΙΑ!$B$2:$B$14)</f>
        <v>Μερική</v>
      </c>
      <c r="J140" t="str">
        <f t="shared" si="20"/>
        <v/>
      </c>
      <c r="K140">
        <f t="shared" si="21"/>
        <v>174</v>
      </c>
      <c r="L140" t="str">
        <f t="shared" si="18"/>
        <v>ΙΟΝΙΩΝ ΝΗΣΩΝ</v>
      </c>
      <c r="M140" t="str">
        <f t="shared" si="19"/>
        <v>ΙΟΝΙΩΝ ΝΗΣΩΝ - ΚΕΡΚΥΡΑΣ</v>
      </c>
      <c r="N140">
        <f t="shared" si="22"/>
        <v>14206</v>
      </c>
      <c r="O140" t="str">
        <f t="shared" si="23"/>
        <v>Κέρκυρας</v>
      </c>
    </row>
    <row r="141" spans="1:15" x14ac:dyDescent="0.3">
      <c r="A141">
        <v>140</v>
      </c>
      <c r="B141" t="s">
        <v>405</v>
      </c>
      <c r="C141" t="s">
        <v>377</v>
      </c>
      <c r="D141" t="s">
        <v>180</v>
      </c>
      <c r="E141" t="str">
        <f t="shared" si="16"/>
        <v xml:space="preserve">ΗΠΕΙΡΟΥ - ΜΕΤΣΟΒΟΥ, </v>
      </c>
      <c r="F141" t="s">
        <v>679</v>
      </c>
      <c r="G141">
        <v>14294</v>
      </c>
      <c r="H141" t="str">
        <f t="shared" si="17"/>
        <v>ΝΑΙ</v>
      </c>
      <c r="I141" t="str">
        <f>LOOKUP(B141,ΠΕΡΙΦΕΡΕΙΑ!$A$2:$A$14,ΠΕΡΙΦΕΡΕΙΑ!$B$2:$B$14)</f>
        <v>Μερική</v>
      </c>
      <c r="J141">
        <f t="shared" si="20"/>
        <v>140</v>
      </c>
      <c r="K141">
        <f t="shared" si="21"/>
        <v>175</v>
      </c>
      <c r="L141" t="str">
        <f t="shared" si="18"/>
        <v>ΙΟΝΙΩΝ ΝΗΣΩΝ</v>
      </c>
      <c r="M141" t="str">
        <f t="shared" si="19"/>
        <v>ΙΟΝΙΩΝ ΝΗΣΩΝ - ΚΕΦΑΛΟΝΙΑΣ</v>
      </c>
      <c r="N141">
        <f t="shared" si="22"/>
        <v>14208</v>
      </c>
      <c r="O141" t="str">
        <f t="shared" si="23"/>
        <v>Κεφαλονιάς</v>
      </c>
    </row>
    <row r="142" spans="1:15" x14ac:dyDescent="0.3">
      <c r="A142">
        <v>141</v>
      </c>
      <c r="B142" t="s">
        <v>405</v>
      </c>
      <c r="C142" t="s">
        <v>375</v>
      </c>
      <c r="D142" t="s">
        <v>170</v>
      </c>
      <c r="E142" t="str">
        <f t="shared" si="16"/>
        <v xml:space="preserve">ΗΠΕΙΡΟΥ - ΝΙΚΟΛΑΟΥ ΣΚΟΥΦΑ, </v>
      </c>
      <c r="F142" t="s">
        <v>680</v>
      </c>
      <c r="G142">
        <v>14326</v>
      </c>
      <c r="H142" t="str">
        <f t="shared" si="17"/>
        <v>ΝΑΙ</v>
      </c>
      <c r="I142" t="str">
        <f>LOOKUP(B142,ΠΕΡΙΦΕΡΕΙΑ!$A$2:$A$14,ΠΕΡΙΦΕΡΕΙΑ!$B$2:$B$14)</f>
        <v>Μερική</v>
      </c>
      <c r="J142">
        <f t="shared" si="20"/>
        <v>141</v>
      </c>
      <c r="K142">
        <f t="shared" si="21"/>
        <v>176</v>
      </c>
      <c r="L142" t="str">
        <f t="shared" si="18"/>
        <v>ΙΟΝΙΩΝ ΝΗΣΩΝ</v>
      </c>
      <c r="M142" t="str">
        <f t="shared" si="19"/>
        <v>ΙΟΝΙΩΝ ΝΗΣΩΝ - ΛΕΥΚΑΔΑΣ</v>
      </c>
      <c r="N142">
        <f t="shared" si="22"/>
        <v>14238</v>
      </c>
      <c r="O142" t="str">
        <f t="shared" si="23"/>
        <v>Λευκάδας</v>
      </c>
    </row>
    <row r="143" spans="1:15" x14ac:dyDescent="0.3">
      <c r="A143">
        <v>142</v>
      </c>
      <c r="B143" t="s">
        <v>405</v>
      </c>
      <c r="C143" t="s">
        <v>184</v>
      </c>
      <c r="D143" t="s">
        <v>183</v>
      </c>
      <c r="E143" t="str">
        <f t="shared" si="16"/>
        <v xml:space="preserve">ΗΠΕΙΡΟΥ - ΠΑΡΓΑΣ, </v>
      </c>
      <c r="F143" t="s">
        <v>681</v>
      </c>
      <c r="G143">
        <v>14398</v>
      </c>
      <c r="H143" t="str">
        <f t="shared" si="17"/>
        <v/>
      </c>
      <c r="I143" t="str">
        <f>LOOKUP(B143,ΠΕΡΙΦΕΡΕΙΑ!$A$2:$A$14,ΠΕΡΙΦΕΡΕΙΑ!$B$2:$B$14)</f>
        <v>Μερική</v>
      </c>
      <c r="J143" t="str">
        <f t="shared" si="20"/>
        <v/>
      </c>
      <c r="K143">
        <f t="shared" si="21"/>
        <v>179</v>
      </c>
      <c r="L143" t="str">
        <f t="shared" si="18"/>
        <v>ΚΕΝΤΡΙΚΗΣ ΜΑΚΕΔΟΝΙΑΣ</v>
      </c>
      <c r="M143" t="str">
        <f t="shared" si="19"/>
        <v>ΚΕΝΤΡΙΚΗΣ ΜΑΚΕΔΟΝΙΑΣ - ΑΛΕΞΑΝΔΡΕΙΑΣ</v>
      </c>
      <c r="N143">
        <f t="shared" si="22"/>
        <v>13918</v>
      </c>
      <c r="O143" t="str">
        <f t="shared" si="23"/>
        <v>Αλεξάνδρειας</v>
      </c>
    </row>
    <row r="144" spans="1:15" x14ac:dyDescent="0.3">
      <c r="A144">
        <v>143</v>
      </c>
      <c r="B144" t="s">
        <v>405</v>
      </c>
      <c r="C144" t="s">
        <v>184</v>
      </c>
      <c r="D144" t="s">
        <v>184</v>
      </c>
      <c r="E144" t="str">
        <f t="shared" si="16"/>
        <v xml:space="preserve">ΗΠΕΙΡΟΥ - ΠΡΕΒΕΖΑΣ, </v>
      </c>
      <c r="F144" t="s">
        <v>682</v>
      </c>
      <c r="G144">
        <v>14418</v>
      </c>
      <c r="H144" t="str">
        <f t="shared" si="17"/>
        <v>ΝΑΙ</v>
      </c>
      <c r="I144" t="str">
        <f>LOOKUP(B144,ΠΕΡΙΦΕΡΕΙΑ!$A$2:$A$14,ΠΕΡΙΦΕΡΕΙΑ!$B$2:$B$14)</f>
        <v>Μερική</v>
      </c>
      <c r="J144">
        <f t="shared" si="20"/>
        <v>143</v>
      </c>
      <c r="K144">
        <f t="shared" si="21"/>
        <v>180</v>
      </c>
      <c r="L144" t="str">
        <f t="shared" si="18"/>
        <v>ΚΕΝΤΡΙΚΗΣ ΜΑΚΕΔΟΝΙΑΣ</v>
      </c>
      <c r="M144" t="str">
        <f t="shared" si="19"/>
        <v>ΚΕΝΤΡΙΚΗΣ ΜΑΚΕΔΟΝΙΑΣ - ΑΛΜΩΠΙΑΣ</v>
      </c>
      <c r="N144">
        <f t="shared" si="22"/>
        <v>13952</v>
      </c>
      <c r="O144" t="str">
        <f t="shared" si="23"/>
        <v>Αλμωπίας</v>
      </c>
    </row>
    <row r="145" spans="1:15" x14ac:dyDescent="0.3">
      <c r="A145">
        <v>144</v>
      </c>
      <c r="B145" t="s">
        <v>405</v>
      </c>
      <c r="C145" t="s">
        <v>377</v>
      </c>
      <c r="D145" t="s">
        <v>181</v>
      </c>
      <c r="E145" t="str">
        <f t="shared" si="16"/>
        <v xml:space="preserve">ΗΠΕΙΡΟΥ - ΠΩΓΩΝΙΟΥ, </v>
      </c>
      <c r="F145" t="s">
        <v>683</v>
      </c>
      <c r="G145">
        <v>14378</v>
      </c>
      <c r="H145" t="str">
        <f t="shared" si="17"/>
        <v>ΝΑΙ</v>
      </c>
      <c r="I145" t="str">
        <f>LOOKUP(B145,ΠΕΡΙΦΕΡΕΙΑ!$A$2:$A$14,ΠΕΡΙΦΕΡΕΙΑ!$B$2:$B$14)</f>
        <v>Μερική</v>
      </c>
      <c r="J145">
        <f t="shared" si="20"/>
        <v>144</v>
      </c>
      <c r="K145">
        <f t="shared" si="21"/>
        <v>181</v>
      </c>
      <c r="L145" t="str">
        <f t="shared" si="18"/>
        <v>ΚΕΝΤΡΙΚΗΣ ΜΑΚΕΔΟΝΙΑΣ</v>
      </c>
      <c r="M145" t="str">
        <f t="shared" si="19"/>
        <v>ΚΕΝΤΡΙΚΗΣ ΜΑΚΕΔΟΝΙΑΣ - ΑΜΠΕΛΟΚΗΠΩΝ – ΜΕΝΕΜΕΝΗΣ</v>
      </c>
      <c r="N145">
        <f t="shared" si="22"/>
        <v>13968</v>
      </c>
      <c r="O145" t="str">
        <f t="shared" si="23"/>
        <v>Αμπελοκήπων - Μενεμένης</v>
      </c>
    </row>
    <row r="146" spans="1:15" x14ac:dyDescent="0.3">
      <c r="A146">
        <v>145</v>
      </c>
      <c r="B146" t="s">
        <v>405</v>
      </c>
      <c r="C146" t="s">
        <v>376</v>
      </c>
      <c r="D146" t="s">
        <v>172</v>
      </c>
      <c r="E146" t="str">
        <f t="shared" si="16"/>
        <v xml:space="preserve">ΗΠΕΙΡΟΥ - ΣΟΥΛΙΟΥ, </v>
      </c>
      <c r="F146" t="s">
        <v>684</v>
      </c>
      <c r="G146">
        <v>14468</v>
      </c>
      <c r="H146" t="str">
        <f t="shared" si="17"/>
        <v>ΝΑΙ</v>
      </c>
      <c r="I146" t="str">
        <f>LOOKUP(B146,ΠΕΡΙΦΕΡΕΙΑ!$A$2:$A$14,ΠΕΡΙΦΕΡΕΙΑ!$B$2:$B$14)</f>
        <v>Μερική</v>
      </c>
      <c r="J146">
        <f t="shared" si="20"/>
        <v>145</v>
      </c>
      <c r="K146">
        <f t="shared" si="21"/>
        <v>184</v>
      </c>
      <c r="L146" t="str">
        <f t="shared" si="18"/>
        <v>ΚΕΝΤΡΙΚΗΣ ΜΑΚΕΔΟΝΙΑΣ</v>
      </c>
      <c r="M146" t="str">
        <f t="shared" si="19"/>
        <v>ΚΕΝΤΡΙΚΗΣ ΜΑΚΕΔΟΝΙΑΣ - ΒΕΡΟΙΑΣ</v>
      </c>
      <c r="N146">
        <f t="shared" si="22"/>
        <v>14014</v>
      </c>
      <c r="O146" t="str">
        <f t="shared" si="23"/>
        <v>Βέροιας</v>
      </c>
    </row>
    <row r="147" spans="1:15" x14ac:dyDescent="0.3">
      <c r="A147">
        <v>146</v>
      </c>
      <c r="B147" t="s">
        <v>405</v>
      </c>
      <c r="C147" t="s">
        <v>376</v>
      </c>
      <c r="D147" t="s">
        <v>173</v>
      </c>
      <c r="E147" t="str">
        <f t="shared" si="16"/>
        <v xml:space="preserve">ΗΠΕΙΡΟΥ - ΦΙΛΙΑΤΩΝ, </v>
      </c>
      <c r="F147" t="s">
        <v>685</v>
      </c>
      <c r="G147">
        <v>14516</v>
      </c>
      <c r="H147" t="str">
        <f t="shared" si="17"/>
        <v>ΝΑΙ</v>
      </c>
      <c r="I147" t="str">
        <f>LOOKUP(B147,ΠΕΡΙΦΕΡΕΙΑ!$A$2:$A$14,ΠΕΡΙΦΕΡΕΙΑ!$B$2:$B$14)</f>
        <v>Μερική</v>
      </c>
      <c r="J147">
        <f t="shared" si="20"/>
        <v>146</v>
      </c>
      <c r="K147">
        <f t="shared" si="21"/>
        <v>186</v>
      </c>
      <c r="L147" t="str">
        <f t="shared" si="18"/>
        <v>ΚΕΝΤΡΙΚΗΣ ΜΑΚΕΔΟΝΙΑΣ</v>
      </c>
      <c r="M147" t="str">
        <f t="shared" si="19"/>
        <v>ΚΕΝΤΡΙΚΗΣ ΜΑΚΕΔΟΝΙΑΣ - ΒΟΛΒΗΣ</v>
      </c>
      <c r="N147">
        <f t="shared" si="22"/>
        <v>14030</v>
      </c>
      <c r="O147" t="str">
        <f t="shared" si="23"/>
        <v>Βόλβης</v>
      </c>
    </row>
    <row r="148" spans="1:15" x14ac:dyDescent="0.3">
      <c r="A148">
        <v>147</v>
      </c>
      <c r="B148" t="s">
        <v>406</v>
      </c>
      <c r="C148" t="s">
        <v>378</v>
      </c>
      <c r="D148" t="s">
        <v>191</v>
      </c>
      <c r="E148" t="str">
        <f t="shared" si="16"/>
        <v xml:space="preserve">ΘΕΣΣΑΛΙΑΣ - ΑΓΙΑΣ, </v>
      </c>
      <c r="F148" t="s">
        <v>686</v>
      </c>
      <c r="G148">
        <v>13938</v>
      </c>
      <c r="H148" t="str">
        <f t="shared" si="17"/>
        <v>ΝΑΙ</v>
      </c>
      <c r="I148" t="str">
        <f>LOOKUP(B148,ΠΕΡΙΦΕΡΕΙΑ!$A$2:$A$14,ΠΕΡΙΦΕΡΕΙΑ!$B$2:$B$14)</f>
        <v>Μερική</v>
      </c>
      <c r="J148">
        <f t="shared" si="20"/>
        <v>147</v>
      </c>
      <c r="K148">
        <f t="shared" si="21"/>
        <v>187</v>
      </c>
      <c r="L148" t="str">
        <f t="shared" si="18"/>
        <v>ΚΕΝΤΡΙΚΗΣ ΜΑΚΕΔΟΝΙΑΣ</v>
      </c>
      <c r="M148" t="str">
        <f t="shared" si="19"/>
        <v>ΚΕΝΤΡΙΚΗΣ ΜΑΚΕΔΟΝΙΑΣ - ΔΕΛΤΑ</v>
      </c>
      <c r="N148">
        <f t="shared" si="22"/>
        <v>14050</v>
      </c>
      <c r="O148" t="str">
        <f t="shared" si="23"/>
        <v>Δέλτα</v>
      </c>
    </row>
    <row r="149" spans="1:15" x14ac:dyDescent="0.3">
      <c r="A149">
        <v>148</v>
      </c>
      <c r="B149" t="s">
        <v>406</v>
      </c>
      <c r="C149" t="s">
        <v>379</v>
      </c>
      <c r="D149" t="s">
        <v>198</v>
      </c>
      <c r="E149" t="str">
        <f t="shared" si="16"/>
        <v xml:space="preserve">ΘΕΣΣΑΛΙΑΣ - ΑΛΜΥΡΟΥ, </v>
      </c>
      <c r="F149" t="s">
        <v>687</v>
      </c>
      <c r="G149">
        <v>13958</v>
      </c>
      <c r="H149" t="str">
        <f t="shared" si="17"/>
        <v>ΝΑΙ</v>
      </c>
      <c r="I149" t="str">
        <f>LOOKUP(B149,ΠΕΡΙΦΕΡΕΙΑ!$A$2:$A$14,ΠΕΡΙΦΕΡΕΙΑ!$B$2:$B$14)</f>
        <v>Μερική</v>
      </c>
      <c r="J149">
        <f t="shared" si="20"/>
        <v>148</v>
      </c>
      <c r="K149">
        <f t="shared" si="21"/>
        <v>188</v>
      </c>
      <c r="L149" t="str">
        <f t="shared" si="18"/>
        <v>ΚΕΝΤΡΙΚΗΣ ΜΑΚΕΔΟΝΙΑΣ</v>
      </c>
      <c r="M149" t="str">
        <f t="shared" si="19"/>
        <v>ΚΕΝΤΡΙΚΗΣ ΜΑΚΕΔΟΝΙΑΣ - ΔΙΟΥ – ΟΛΥΜΠΟΥ</v>
      </c>
      <c r="N149">
        <f t="shared" si="22"/>
        <v>14062</v>
      </c>
      <c r="O149" t="str">
        <f t="shared" si="23"/>
        <v>Δίου - Ολύμπου</v>
      </c>
    </row>
    <row r="150" spans="1:15" x14ac:dyDescent="0.3">
      <c r="A150">
        <v>149</v>
      </c>
      <c r="B150" t="s">
        <v>406</v>
      </c>
      <c r="C150" t="s">
        <v>380</v>
      </c>
      <c r="D150" t="s">
        <v>203</v>
      </c>
      <c r="E150" t="str">
        <f t="shared" si="16"/>
        <v xml:space="preserve">ΘΕΣΣΑΛΙΑΣ - ΑΛΟΝΝΗΣΟΥ, </v>
      </c>
      <c r="F150" t="s">
        <v>688</v>
      </c>
      <c r="G150">
        <v>13960</v>
      </c>
      <c r="H150" t="str">
        <f t="shared" si="17"/>
        <v/>
      </c>
      <c r="I150" t="str">
        <f>LOOKUP(B150,ΠΕΡΙΦΕΡΕΙΑ!$A$2:$A$14,ΠΕΡΙΦΕΡΕΙΑ!$B$2:$B$14)</f>
        <v>Μερική</v>
      </c>
      <c r="J150" t="str">
        <f t="shared" si="20"/>
        <v/>
      </c>
      <c r="K150">
        <f t="shared" si="21"/>
        <v>189</v>
      </c>
      <c r="L150" t="str">
        <f t="shared" si="18"/>
        <v>ΚΕΝΤΡΙΚΗΣ ΜΑΚΕΔΟΝΙΑΣ</v>
      </c>
      <c r="M150" t="str">
        <f t="shared" si="19"/>
        <v>ΚΕΝΤΡΙΚΗΣ ΜΑΚΕΔΟΝΙΑΣ - ΕΔΕΣΣΑΣ</v>
      </c>
      <c r="N150">
        <f t="shared" si="22"/>
        <v>14080</v>
      </c>
      <c r="O150" t="str">
        <f t="shared" si="23"/>
        <v>Έδεσσας</v>
      </c>
    </row>
    <row r="151" spans="1:15" x14ac:dyDescent="0.3">
      <c r="A151">
        <v>150</v>
      </c>
      <c r="B151" t="s">
        <v>406</v>
      </c>
      <c r="C151" t="s">
        <v>186</v>
      </c>
      <c r="D151" t="s">
        <v>185</v>
      </c>
      <c r="E151" t="str">
        <f t="shared" si="16"/>
        <v xml:space="preserve">ΘΕΣΣΑΛΙΑΣ - ΑΡΓΙΘΕΑΣ, </v>
      </c>
      <c r="F151" t="s">
        <v>689</v>
      </c>
      <c r="G151">
        <v>13992</v>
      </c>
      <c r="H151" t="str">
        <f t="shared" si="17"/>
        <v/>
      </c>
      <c r="I151" t="str">
        <f>LOOKUP(B151,ΠΕΡΙΦΕΡΕΙΑ!$A$2:$A$14,ΠΕΡΙΦΕΡΕΙΑ!$B$2:$B$14)</f>
        <v>Μερική</v>
      </c>
      <c r="J151" t="str">
        <f t="shared" si="20"/>
        <v/>
      </c>
      <c r="K151">
        <f t="shared" si="21"/>
        <v>190</v>
      </c>
      <c r="L151" t="str">
        <f t="shared" si="18"/>
        <v>ΚΕΝΤΡΙΚΗΣ ΜΑΚΕΔΟΝΙΑΣ</v>
      </c>
      <c r="M151" t="str">
        <f t="shared" si="19"/>
        <v>ΚΕΝΤΡΙΚΗΣ ΜΑΚΕΔΟΝΙΑΣ - ΕΜΜΑΝΟΥΗΛ ΠΑΠΠΑ</v>
      </c>
      <c r="N151">
        <f t="shared" si="22"/>
        <v>14088</v>
      </c>
      <c r="O151" t="str">
        <f t="shared" si="23"/>
        <v>Εμμανουήλ Παππά</v>
      </c>
    </row>
    <row r="152" spans="1:15" x14ac:dyDescent="0.3">
      <c r="A152">
        <v>151</v>
      </c>
      <c r="B152" t="s">
        <v>406</v>
      </c>
      <c r="C152" t="s">
        <v>379</v>
      </c>
      <c r="D152" t="s">
        <v>199</v>
      </c>
      <c r="E152" t="str">
        <f t="shared" si="16"/>
        <v xml:space="preserve">ΘΕΣΣΑΛΙΑΣ - ΒΟΛΟΥ, </v>
      </c>
      <c r="F152" t="s">
        <v>690</v>
      </c>
      <c r="G152">
        <v>14034</v>
      </c>
      <c r="H152" t="str">
        <f t="shared" si="17"/>
        <v>ΝΑΙ</v>
      </c>
      <c r="I152" t="str">
        <f>LOOKUP(B152,ΠΕΡΙΦΕΡΕΙΑ!$A$2:$A$14,ΠΕΡΙΦΕΡΕΙΑ!$B$2:$B$14)</f>
        <v>Μερική</v>
      </c>
      <c r="J152">
        <f t="shared" si="20"/>
        <v>151</v>
      </c>
      <c r="K152">
        <f t="shared" si="21"/>
        <v>191</v>
      </c>
      <c r="L152" t="str">
        <f t="shared" si="18"/>
        <v>ΚΕΝΤΡΙΚΗΣ ΜΑΚΕΔΟΝΙΑΣ</v>
      </c>
      <c r="M152" t="str">
        <f t="shared" si="19"/>
        <v>ΚΕΝΤΡΙΚΗΣ ΜΑΚΕΔΟΝΙΑΣ - ΗΡΑΚΛΕΙΑΣ</v>
      </c>
      <c r="N152">
        <f t="shared" si="22"/>
        <v>13914</v>
      </c>
      <c r="O152" t="str">
        <f t="shared" si="23"/>
        <v>Ηρακλείας</v>
      </c>
    </row>
    <row r="153" spans="1:15" x14ac:dyDescent="0.3">
      <c r="A153">
        <v>152</v>
      </c>
      <c r="B153" t="s">
        <v>406</v>
      </c>
      <c r="C153" t="s">
        <v>378</v>
      </c>
      <c r="D153" t="s">
        <v>192</v>
      </c>
      <c r="E153" t="str">
        <f t="shared" si="16"/>
        <v xml:space="preserve">ΘΕΣΣΑΛΙΑΣ - ΕΛΑΣΣΟΝΑΣ, </v>
      </c>
      <c r="F153" t="s">
        <v>691</v>
      </c>
      <c r="G153">
        <v>14082</v>
      </c>
      <c r="H153" t="str">
        <f t="shared" si="17"/>
        <v>ΝΑΙ</v>
      </c>
      <c r="I153" t="str">
        <f>LOOKUP(B153,ΠΕΡΙΦΕΡΕΙΑ!$A$2:$A$14,ΠΕΡΙΦΕΡΕΙΑ!$B$2:$B$14)</f>
        <v>Μερική</v>
      </c>
      <c r="J153">
        <f t="shared" si="20"/>
        <v>152</v>
      </c>
      <c r="K153">
        <f t="shared" si="21"/>
        <v>192</v>
      </c>
      <c r="L153" t="str">
        <f t="shared" si="18"/>
        <v>ΚΕΝΤΡΙΚΗΣ ΜΑΚΕΔΟΝΙΑΣ</v>
      </c>
      <c r="M153" t="str">
        <f t="shared" si="19"/>
        <v>ΚΕΝΤΡΙΚΗΣ ΜΑΚΕΔΟΝΙΑΣ - ΘΕΡΜΑΪΚΟΥ</v>
      </c>
      <c r="N153">
        <f t="shared" si="22"/>
        <v>14126</v>
      </c>
      <c r="O153" t="str">
        <f t="shared" si="23"/>
        <v>Θερμαϊκού</v>
      </c>
    </row>
    <row r="154" spans="1:15" x14ac:dyDescent="0.3">
      <c r="A154">
        <v>153</v>
      </c>
      <c r="B154" t="s">
        <v>406</v>
      </c>
      <c r="C154" t="s">
        <v>379</v>
      </c>
      <c r="D154" t="s">
        <v>200</v>
      </c>
      <c r="E154" t="str">
        <f t="shared" si="16"/>
        <v xml:space="preserve">ΘΕΣΣΑΛΙΑΣ - ΖΑΓΟΡΑΣ – ΜΟΥΡΕΣΙΟΥ, </v>
      </c>
      <c r="F154" t="s">
        <v>692</v>
      </c>
      <c r="G154">
        <v>14102</v>
      </c>
      <c r="H154" t="str">
        <f t="shared" si="17"/>
        <v/>
      </c>
      <c r="I154" t="str">
        <f>LOOKUP(B154,ΠΕΡΙΦΕΡΕΙΑ!$A$2:$A$14,ΠΕΡΙΦΕΡΕΙΑ!$B$2:$B$14)</f>
        <v>Μερική</v>
      </c>
      <c r="J154" t="str">
        <f t="shared" si="20"/>
        <v/>
      </c>
      <c r="K154">
        <f t="shared" si="21"/>
        <v>193</v>
      </c>
      <c r="L154" t="str">
        <f t="shared" si="18"/>
        <v>ΚΕΝΤΡΙΚΗΣ ΜΑΚΕΔΟΝΙΑΣ</v>
      </c>
      <c r="M154" t="str">
        <f t="shared" si="19"/>
        <v>ΚΕΝΤΡΙΚΗΣ ΜΑΚΕΔΟΝΙΑΣ - ΘΕΡΜΗΣ</v>
      </c>
      <c r="N154">
        <f t="shared" si="22"/>
        <v>14128</v>
      </c>
      <c r="O154" t="str">
        <f t="shared" si="23"/>
        <v>Θέρμης</v>
      </c>
    </row>
    <row r="155" spans="1:15" x14ac:dyDescent="0.3">
      <c r="A155">
        <v>154</v>
      </c>
      <c r="B155" t="s">
        <v>406</v>
      </c>
      <c r="C155" t="s">
        <v>381</v>
      </c>
      <c r="D155" t="s">
        <v>206</v>
      </c>
      <c r="E155" t="str">
        <f t="shared" si="16"/>
        <v xml:space="preserve">ΘΕΣΣΑΛΙΑΣ - ΚΑΛΑΜΠΑΚΑΣ, </v>
      </c>
      <c r="F155" t="s">
        <v>693</v>
      </c>
      <c r="G155">
        <v>14182</v>
      </c>
      <c r="H155" t="str">
        <f t="shared" si="17"/>
        <v>ΝΑΙ</v>
      </c>
      <c r="I155" t="str">
        <f>LOOKUP(B155,ΠΕΡΙΦΕΡΕΙΑ!$A$2:$A$14,ΠΕΡΙΦΕΡΕΙΑ!$B$2:$B$14)</f>
        <v>Μερική</v>
      </c>
      <c r="J155">
        <f t="shared" si="20"/>
        <v>154</v>
      </c>
      <c r="K155">
        <f t="shared" si="21"/>
        <v>194</v>
      </c>
      <c r="L155" t="str">
        <f t="shared" si="18"/>
        <v>ΚΕΝΤΡΙΚΗΣ ΜΑΚΕΔΟΝΙΑΣ</v>
      </c>
      <c r="M155" t="str">
        <f t="shared" si="19"/>
        <v>ΚΕΝΤΡΙΚΗΣ ΜΑΚΕΔΟΝΙΑΣ - ΘΕΣΣΑΛΟΝΙΚΗΣ</v>
      </c>
      <c r="N155">
        <f t="shared" si="22"/>
        <v>14130</v>
      </c>
      <c r="O155" t="str">
        <f t="shared" si="23"/>
        <v>Θεσσαλονίκης</v>
      </c>
    </row>
    <row r="156" spans="1:15" x14ac:dyDescent="0.3">
      <c r="A156">
        <v>155</v>
      </c>
      <c r="B156" t="s">
        <v>406</v>
      </c>
      <c r="C156" t="s">
        <v>186</v>
      </c>
      <c r="D156" t="s">
        <v>186</v>
      </c>
      <c r="E156" t="str">
        <f t="shared" si="16"/>
        <v xml:space="preserve">ΘΕΣΣΑΛΙΑΣ - ΚΑΡΔΙΤΣΑΣ, </v>
      </c>
      <c r="F156" t="s">
        <v>694</v>
      </c>
      <c r="G156">
        <v>14188</v>
      </c>
      <c r="H156" t="str">
        <f t="shared" si="17"/>
        <v>ΝΑΙ</v>
      </c>
      <c r="I156" t="str">
        <f>LOOKUP(B156,ΠΕΡΙΦΕΡΕΙΑ!$A$2:$A$14,ΠΕΡΙΦΕΡΕΙΑ!$B$2:$B$14)</f>
        <v>Μερική</v>
      </c>
      <c r="J156">
        <f t="shared" si="20"/>
        <v>155</v>
      </c>
      <c r="K156">
        <f t="shared" si="21"/>
        <v>195</v>
      </c>
      <c r="L156" t="str">
        <f t="shared" si="18"/>
        <v>ΚΕΝΤΡΙΚΗΣ ΜΑΚΕΔΟΝΙΑΣ</v>
      </c>
      <c r="M156" t="str">
        <f t="shared" si="19"/>
        <v>ΚΕΝΤΡΙΚΗΣ ΜΑΚΕΔΟΝΙΑΣ - ΚΑΛΑΜΑΡΙΑΣ</v>
      </c>
      <c r="N156">
        <f t="shared" si="22"/>
        <v>14176</v>
      </c>
      <c r="O156" t="str">
        <f t="shared" si="23"/>
        <v>Καλαμαριάς</v>
      </c>
    </row>
    <row r="157" spans="1:15" x14ac:dyDescent="0.3">
      <c r="A157">
        <v>156</v>
      </c>
      <c r="B157" t="s">
        <v>406</v>
      </c>
      <c r="C157" t="s">
        <v>378</v>
      </c>
      <c r="D157" t="s">
        <v>193</v>
      </c>
      <c r="E157" t="str">
        <f t="shared" si="16"/>
        <v xml:space="preserve">ΘΕΣΣΑΛΙΑΣ - ΚΙΛΕΛΕΡ, </v>
      </c>
      <c r="F157" t="s">
        <v>695</v>
      </c>
      <c r="G157">
        <v>14210</v>
      </c>
      <c r="H157" t="str">
        <f t="shared" si="17"/>
        <v>ΝΑΙ</v>
      </c>
      <c r="I157" t="str">
        <f>LOOKUP(B157,ΠΕΡΙΦΕΡΕΙΑ!$A$2:$A$14,ΠΕΡΙΦΕΡΕΙΑ!$B$2:$B$14)</f>
        <v>Μερική</v>
      </c>
      <c r="J157">
        <f t="shared" si="20"/>
        <v>156</v>
      </c>
      <c r="K157">
        <f t="shared" si="21"/>
        <v>197</v>
      </c>
      <c r="L157" t="str">
        <f t="shared" si="18"/>
        <v>ΚΕΝΤΡΙΚΗΣ ΜΑΚΕΔΟΝΙΑΣ</v>
      </c>
      <c r="M157" t="str">
        <f t="shared" si="19"/>
        <v>ΚΕΝΤΡΙΚΗΣ ΜΑΚΕΔΟΝΙΑΣ - ΚΑΤΕΡΙΝΗΣ</v>
      </c>
      <c r="N157">
        <f t="shared" si="22"/>
        <v>14200</v>
      </c>
      <c r="O157" t="str">
        <f t="shared" si="23"/>
        <v>Κατερίνης</v>
      </c>
    </row>
    <row r="158" spans="1:15" x14ac:dyDescent="0.3">
      <c r="A158">
        <v>157</v>
      </c>
      <c r="B158" t="s">
        <v>406</v>
      </c>
      <c r="C158" t="s">
        <v>378</v>
      </c>
      <c r="D158" t="s">
        <v>194</v>
      </c>
      <c r="E158" t="str">
        <f t="shared" si="16"/>
        <v xml:space="preserve">ΘΕΣΣΑΛΙΑΣ - ΛΑΡΙΣΑΙΩΝ, </v>
      </c>
      <c r="F158" t="s">
        <v>696</v>
      </c>
      <c r="G158">
        <v>14246</v>
      </c>
      <c r="H158" t="str">
        <f t="shared" si="17"/>
        <v>ΝΑΙ</v>
      </c>
      <c r="I158" t="str">
        <f>LOOKUP(B158,ΠΕΡΙΦΕΡΕΙΑ!$A$2:$A$14,ΠΕΡΙΦΕΡΕΙΑ!$B$2:$B$14)</f>
        <v>Μερική</v>
      </c>
      <c r="J158">
        <f t="shared" si="20"/>
        <v>157</v>
      </c>
      <c r="K158">
        <f t="shared" si="21"/>
        <v>198</v>
      </c>
      <c r="L158" t="str">
        <f t="shared" si="18"/>
        <v>ΚΕΝΤΡΙΚΗΣ ΜΑΚΕΔΟΝΙΑΣ</v>
      </c>
      <c r="M158" t="str">
        <f t="shared" si="19"/>
        <v>ΚΕΝΤΡΙΚΗΣ ΜΑΚΕΔΟΝΙΑΣ - ΚΙΛΚΙΣ</v>
      </c>
      <c r="N158">
        <f t="shared" si="22"/>
        <v>14212</v>
      </c>
      <c r="O158" t="str">
        <f t="shared" si="23"/>
        <v>Κιλκίς</v>
      </c>
    </row>
    <row r="159" spans="1:15" x14ac:dyDescent="0.3">
      <c r="A159">
        <v>158</v>
      </c>
      <c r="B159" t="s">
        <v>406</v>
      </c>
      <c r="C159" t="s">
        <v>186</v>
      </c>
      <c r="D159" t="s">
        <v>187</v>
      </c>
      <c r="E159" t="str">
        <f t="shared" si="16"/>
        <v xml:space="preserve">ΘΕΣΣΑΛΙΑΣ - ΛΙΜΝΗΣ ΠΛΑΣΤΗΡΑ, </v>
      </c>
      <c r="F159" t="s">
        <v>697</v>
      </c>
      <c r="G159">
        <v>14258</v>
      </c>
      <c r="H159" t="str">
        <f t="shared" si="17"/>
        <v/>
      </c>
      <c r="I159" t="str">
        <f>LOOKUP(B159,ΠΕΡΙΦΕΡΕΙΑ!$A$2:$A$14,ΠΕΡΙΦΕΡΕΙΑ!$B$2:$B$14)</f>
        <v>Μερική</v>
      </c>
      <c r="J159" t="str">
        <f t="shared" si="20"/>
        <v/>
      </c>
      <c r="K159">
        <f t="shared" si="21"/>
        <v>199</v>
      </c>
      <c r="L159" t="str">
        <f t="shared" si="18"/>
        <v>ΚΕΝΤΡΙΚΗΣ ΜΑΚΕΔΟΝΙΑΣ</v>
      </c>
      <c r="M159" t="str">
        <f t="shared" si="19"/>
        <v>ΚΕΝΤΡΙΚΗΣ ΜΑΚΕΔΟΝΙΑΣ - ΚΟΡΔΕΛΙΟΥ – ΕΥΟΣΜΟΥ</v>
      </c>
      <c r="N159">
        <f t="shared" si="22"/>
        <v>14224</v>
      </c>
      <c r="O159" t="str">
        <f t="shared" si="23"/>
        <v>Κορδελιού - Ευόσμου</v>
      </c>
    </row>
    <row r="160" spans="1:15" x14ac:dyDescent="0.3">
      <c r="A160">
        <v>159</v>
      </c>
      <c r="B160" t="s">
        <v>406</v>
      </c>
      <c r="C160" t="s">
        <v>186</v>
      </c>
      <c r="D160" t="s">
        <v>188</v>
      </c>
      <c r="E160" t="str">
        <f t="shared" si="16"/>
        <v xml:space="preserve">ΘΕΣΣΑΛΙΑΣ - ΜΟΥΖΑΚΙΟΥ, </v>
      </c>
      <c r="F160" t="s">
        <v>698</v>
      </c>
      <c r="G160">
        <v>14302</v>
      </c>
      <c r="H160" t="str">
        <f t="shared" si="17"/>
        <v>ΝΑΙ</v>
      </c>
      <c r="I160" t="str">
        <f>LOOKUP(B160,ΠΕΡΙΦΕΡΕΙΑ!$A$2:$A$14,ΠΕΡΙΦΕΡΕΙΑ!$B$2:$B$14)</f>
        <v>Μερική</v>
      </c>
      <c r="J160">
        <f t="shared" si="20"/>
        <v>159</v>
      </c>
      <c r="K160">
        <f t="shared" si="21"/>
        <v>200</v>
      </c>
      <c r="L160" t="str">
        <f t="shared" si="18"/>
        <v>ΚΕΝΤΡΙΚΗΣ ΜΑΚΕΔΟΝΙΑΣ</v>
      </c>
      <c r="M160" t="str">
        <f t="shared" si="19"/>
        <v>ΚΕΝΤΡΙΚΗΣ ΜΑΚΕΔΟΝΙΑΣ - ΛΑΓΚΑΔΑ</v>
      </c>
      <c r="N160">
        <f t="shared" si="22"/>
        <v>14172</v>
      </c>
      <c r="O160" t="str">
        <f t="shared" si="23"/>
        <v>Λαγκαδά</v>
      </c>
    </row>
    <row r="161" spans="1:15" x14ac:dyDescent="0.3">
      <c r="A161">
        <v>160</v>
      </c>
      <c r="B161" t="s">
        <v>406</v>
      </c>
      <c r="C161" t="s">
        <v>379</v>
      </c>
      <c r="D161" t="s">
        <v>201</v>
      </c>
      <c r="E161" t="str">
        <f t="shared" si="16"/>
        <v xml:space="preserve">ΘΕΣΣΑΛΙΑΣ - ΝΟΤΙΟΥ ΠΗΛΙΟΥ, </v>
      </c>
      <c r="F161" t="s">
        <v>699</v>
      </c>
      <c r="G161">
        <v>14342</v>
      </c>
      <c r="H161" t="str">
        <f t="shared" si="17"/>
        <v>ΝΑΙ</v>
      </c>
      <c r="I161" t="str">
        <f>LOOKUP(B161,ΠΕΡΙΦΕΡΕΙΑ!$A$2:$A$14,ΠΕΡΙΦΕΡΕΙΑ!$B$2:$B$14)</f>
        <v>Μερική</v>
      </c>
      <c r="J161">
        <f t="shared" si="20"/>
        <v>160</v>
      </c>
      <c r="K161">
        <f t="shared" si="21"/>
        <v>201</v>
      </c>
      <c r="L161" t="str">
        <f t="shared" si="18"/>
        <v>ΚΕΝΤΡΙΚΗΣ ΜΑΚΕΔΟΝΙΑΣ</v>
      </c>
      <c r="M161" t="str">
        <f t="shared" si="19"/>
        <v>ΚΕΝΤΡΙΚΗΣ ΜΑΚΕΔΟΝΙΑΣ - ΝΑΟΥΣΑΣ</v>
      </c>
      <c r="N161">
        <f t="shared" si="22"/>
        <v>14272</v>
      </c>
      <c r="O161" t="str">
        <f t="shared" si="23"/>
        <v>Νάουσας</v>
      </c>
    </row>
    <row r="162" spans="1:15" x14ac:dyDescent="0.3">
      <c r="A162">
        <v>161</v>
      </c>
      <c r="B162" t="s">
        <v>406</v>
      </c>
      <c r="C162" t="s">
        <v>186</v>
      </c>
      <c r="D162" t="s">
        <v>189</v>
      </c>
      <c r="E162" t="str">
        <f t="shared" si="16"/>
        <v xml:space="preserve">ΘΕΣΣΑΛΙΑΣ - ΠΑΛΑΜΑ, </v>
      </c>
      <c r="F162" t="s">
        <v>700</v>
      </c>
      <c r="G162">
        <v>14388</v>
      </c>
      <c r="H162" t="str">
        <f t="shared" si="17"/>
        <v>ΝΑΙ</v>
      </c>
      <c r="I162" t="str">
        <f>LOOKUP(B162,ΠΕΡΙΦΕΡΕΙΑ!$A$2:$A$14,ΠΕΡΙΦΕΡΕΙΑ!$B$2:$B$14)</f>
        <v>Μερική</v>
      </c>
      <c r="J162">
        <f t="shared" si="20"/>
        <v>161</v>
      </c>
      <c r="K162">
        <f t="shared" si="21"/>
        <v>202</v>
      </c>
      <c r="L162" t="str">
        <f t="shared" si="18"/>
        <v>ΚΕΝΤΡΙΚΗΣ ΜΑΚΕΔΟΝΙΑΣ</v>
      </c>
      <c r="M162" t="str">
        <f t="shared" si="19"/>
        <v>ΚΕΝΤΡΙΚΗΣ ΜΑΚΕΔΟΝΙΑΣ - ΝΕΑΠΟΛΗΣ – ΣΥΚΕΩΝ</v>
      </c>
      <c r="N162">
        <f t="shared" si="22"/>
        <v>14332</v>
      </c>
      <c r="O162" t="str">
        <f t="shared" si="23"/>
        <v>Νέαπολης - Συκεών</v>
      </c>
    </row>
    <row r="163" spans="1:15" x14ac:dyDescent="0.3">
      <c r="A163">
        <v>162</v>
      </c>
      <c r="B163" t="s">
        <v>406</v>
      </c>
      <c r="C163" t="s">
        <v>381</v>
      </c>
      <c r="D163" t="s">
        <v>207</v>
      </c>
      <c r="E163" t="str">
        <f t="shared" si="16"/>
        <v xml:space="preserve">ΘΕΣΣΑΛΙΑΣ - ΠΥΛΗΣ, </v>
      </c>
      <c r="F163" t="s">
        <v>701</v>
      </c>
      <c r="G163">
        <v>14374</v>
      </c>
      <c r="H163" t="str">
        <f t="shared" si="17"/>
        <v/>
      </c>
      <c r="I163" t="str">
        <f>LOOKUP(B163,ΠΕΡΙΦΕΡΕΙΑ!$A$2:$A$14,ΠΕΡΙΦΕΡΕΙΑ!$B$2:$B$14)</f>
        <v>Μερική</v>
      </c>
      <c r="J163" t="str">
        <f t="shared" si="20"/>
        <v/>
      </c>
      <c r="K163">
        <f t="shared" si="21"/>
        <v>204</v>
      </c>
      <c r="L163" t="str">
        <f t="shared" si="18"/>
        <v>ΚΕΝΤΡΙΚΗΣ ΜΑΚΕΔΟΝΙΑΣ</v>
      </c>
      <c r="M163" t="str">
        <f t="shared" si="19"/>
        <v>ΚΕΝΤΡΙΚΗΣ ΜΑΚΕΔΟΝΙΑΣ - ΝΕΑΣ ΠΡΟΠΟΝΤΙΔΑΣ</v>
      </c>
      <c r="N163">
        <f t="shared" si="22"/>
        <v>14318</v>
      </c>
      <c r="O163" t="str">
        <f t="shared" si="23"/>
        <v>Νέας Προποντίδας</v>
      </c>
    </row>
    <row r="164" spans="1:15" x14ac:dyDescent="0.3">
      <c r="A164">
        <v>163</v>
      </c>
      <c r="B164" t="s">
        <v>406</v>
      </c>
      <c r="C164" t="s">
        <v>379</v>
      </c>
      <c r="D164" t="s">
        <v>202</v>
      </c>
      <c r="E164" t="str">
        <f t="shared" si="16"/>
        <v xml:space="preserve">ΘΕΣΣΑΛΙΑΣ - ΡΗΓΑ ΦΕΡΑΙΟΥ, </v>
      </c>
      <c r="F164" t="s">
        <v>702</v>
      </c>
      <c r="G164">
        <v>14434</v>
      </c>
      <c r="H164" t="str">
        <f t="shared" si="17"/>
        <v>ΝΑΙ</v>
      </c>
      <c r="I164" t="str">
        <f>LOOKUP(B164,ΠΕΡΙΦΕΡΕΙΑ!$A$2:$A$14,ΠΕΡΙΦΕΡΕΙΑ!$B$2:$B$14)</f>
        <v>Μερική</v>
      </c>
      <c r="J164">
        <f t="shared" si="20"/>
        <v>163</v>
      </c>
      <c r="K164">
        <f t="shared" si="21"/>
        <v>206</v>
      </c>
      <c r="L164" t="str">
        <f t="shared" si="18"/>
        <v>ΚΕΝΤΡΙΚΗΣ ΜΑΚΕΔΟΝΙΑΣ</v>
      </c>
      <c r="M164" t="str">
        <f t="shared" si="19"/>
        <v>ΚΕΝΤΡΙΚΗΣ ΜΑΚΕΔΟΝΙΑΣ - ΠΑΥΛΟΥ ΜΕΛΑ</v>
      </c>
      <c r="N164">
        <f t="shared" si="22"/>
        <v>14368</v>
      </c>
      <c r="O164" t="str">
        <f t="shared" si="23"/>
        <v>Παύλου Μελά</v>
      </c>
    </row>
    <row r="165" spans="1:15" x14ac:dyDescent="0.3">
      <c r="A165">
        <v>164</v>
      </c>
      <c r="B165" t="s">
        <v>406</v>
      </c>
      <c r="C165" t="s">
        <v>380</v>
      </c>
      <c r="D165" t="s">
        <v>204</v>
      </c>
      <c r="E165" t="str">
        <f t="shared" si="16"/>
        <v xml:space="preserve">ΘΕΣΣΑΛΙΑΣ - ΣΚΙΑΘΟΥ, </v>
      </c>
      <c r="F165" t="s">
        <v>703</v>
      </c>
      <c r="G165">
        <v>14466</v>
      </c>
      <c r="H165" t="str">
        <f t="shared" si="17"/>
        <v>ΝΑΙ</v>
      </c>
      <c r="I165" t="str">
        <f>LOOKUP(B165,ΠΕΡΙΦΕΡΕΙΑ!$A$2:$A$14,ΠΕΡΙΦΕΡΕΙΑ!$B$2:$B$14)</f>
        <v>Μερική</v>
      </c>
      <c r="J165">
        <f t="shared" si="20"/>
        <v>164</v>
      </c>
      <c r="K165">
        <f t="shared" si="21"/>
        <v>207</v>
      </c>
      <c r="L165" t="str">
        <f t="shared" si="18"/>
        <v>ΚΕΝΤΡΙΚΗΣ ΜΑΚΕΔΟΝΙΑΣ</v>
      </c>
      <c r="M165" t="str">
        <f t="shared" si="19"/>
        <v>ΚΕΝΤΡΙΚΗΣ ΜΑΚΕΔΟΝΙΑΣ - ΠΕΛΛΑΣ</v>
      </c>
      <c r="N165">
        <f t="shared" si="22"/>
        <v>14382</v>
      </c>
      <c r="O165" t="str">
        <f t="shared" si="23"/>
        <v>Πέλλας</v>
      </c>
    </row>
    <row r="166" spans="1:15" x14ac:dyDescent="0.3">
      <c r="A166">
        <v>165</v>
      </c>
      <c r="B166" t="s">
        <v>406</v>
      </c>
      <c r="C166" t="s">
        <v>380</v>
      </c>
      <c r="D166" t="s">
        <v>205</v>
      </c>
      <c r="E166" t="str">
        <f t="shared" si="16"/>
        <v xml:space="preserve">ΘΕΣΣΑΛΙΑΣ - ΣΚΟΠΕΛΟΥ, </v>
      </c>
      <c r="F166" t="s">
        <v>704</v>
      </c>
      <c r="G166">
        <v>14440</v>
      </c>
      <c r="H166" t="str">
        <f t="shared" si="17"/>
        <v/>
      </c>
      <c r="I166" t="str">
        <f>LOOKUP(B166,ΠΕΡΙΦΕΡΕΙΑ!$A$2:$A$14,ΠΕΡΙΦΕΡΕΙΑ!$B$2:$B$14)</f>
        <v>Μερική</v>
      </c>
      <c r="J166" t="str">
        <f t="shared" si="20"/>
        <v/>
      </c>
      <c r="K166">
        <f t="shared" si="21"/>
        <v>208</v>
      </c>
      <c r="L166" t="str">
        <f t="shared" si="18"/>
        <v>ΚΕΝΤΡΙΚΗΣ ΜΑΚΕΔΟΝΙΑΣ</v>
      </c>
      <c r="M166" t="str">
        <f t="shared" si="19"/>
        <v>ΚΕΝΤΡΙΚΗΣ ΜΑΚΕΔΟΝΙΑΣ - ΠΟΛΥΓΥΡΟΥ</v>
      </c>
      <c r="N166">
        <f t="shared" si="22"/>
        <v>14414</v>
      </c>
      <c r="O166" t="str">
        <f t="shared" si="23"/>
        <v>Πολυγύρου</v>
      </c>
    </row>
    <row r="167" spans="1:15" x14ac:dyDescent="0.3">
      <c r="A167">
        <v>166</v>
      </c>
      <c r="B167" t="s">
        <v>406</v>
      </c>
      <c r="C167" t="s">
        <v>186</v>
      </c>
      <c r="D167" t="s">
        <v>190</v>
      </c>
      <c r="E167" t="str">
        <f t="shared" si="16"/>
        <v xml:space="preserve">ΘΕΣΣΑΛΙΑΣ - ΣΟΦΑΔΩΝ, </v>
      </c>
      <c r="F167" t="s">
        <v>705</v>
      </c>
      <c r="G167">
        <v>14476</v>
      </c>
      <c r="H167" t="str">
        <f t="shared" si="17"/>
        <v>ΝΑΙ</v>
      </c>
      <c r="I167" t="str">
        <f>LOOKUP(B167,ΠΕΡΙΦΕΡΕΙΑ!$A$2:$A$14,ΠΕΡΙΦΕΡΕΙΑ!$B$2:$B$14)</f>
        <v>Μερική</v>
      </c>
      <c r="J167">
        <f t="shared" si="20"/>
        <v>166</v>
      </c>
      <c r="K167">
        <f t="shared" si="21"/>
        <v>209</v>
      </c>
      <c r="L167" t="str">
        <f t="shared" si="18"/>
        <v>ΚΕΝΤΡΙΚΗΣ ΜΑΚΕΔΟΝΙΑΣ</v>
      </c>
      <c r="M167" t="str">
        <f t="shared" si="19"/>
        <v>ΚΕΝΤΡΙΚΗΣ ΜΑΚΕΔΟΝΙΑΣ - ΠΥΔΝΑΣ – ΚΟΛΙΝΔΡΟΥ</v>
      </c>
      <c r="N167">
        <f t="shared" si="22"/>
        <v>14422</v>
      </c>
      <c r="O167" t="str">
        <f t="shared" si="23"/>
        <v>Πύδνας - Κολινδρού</v>
      </c>
    </row>
    <row r="168" spans="1:15" x14ac:dyDescent="0.3">
      <c r="A168">
        <v>167</v>
      </c>
      <c r="B168" t="s">
        <v>406</v>
      </c>
      <c r="C168" t="s">
        <v>378</v>
      </c>
      <c r="D168" t="s">
        <v>195</v>
      </c>
      <c r="E168" t="str">
        <f t="shared" si="16"/>
        <v xml:space="preserve">ΘΕΣΣΑΛΙΑΣ - ΤΕΜΠΩΝ, </v>
      </c>
      <c r="F168" t="s">
        <v>706</v>
      </c>
      <c r="G168">
        <v>14490</v>
      </c>
      <c r="H168" t="str">
        <f t="shared" si="17"/>
        <v>ΝΑΙ</v>
      </c>
      <c r="I168" t="str">
        <f>LOOKUP(B168,ΠΕΡΙΦΕΡΕΙΑ!$A$2:$A$14,ΠΕΡΙΦΕΡΕΙΑ!$B$2:$B$14)</f>
        <v>Μερική</v>
      </c>
      <c r="J168">
        <f t="shared" si="20"/>
        <v>167</v>
      </c>
      <c r="K168">
        <f t="shared" si="21"/>
        <v>210</v>
      </c>
      <c r="L168" t="str">
        <f t="shared" si="18"/>
        <v>ΚΕΝΤΡΙΚΗΣ ΜΑΚΕΔΟΝΙΑΣ</v>
      </c>
      <c r="M168" t="str">
        <f t="shared" si="19"/>
        <v>ΚΕΝΤΡΙΚΗΣ ΜΑΚΕΔΟΝΙΑΣ - ΠΥΛΑΙΑΣ – ΧΟΡΤΙΑΤΗ</v>
      </c>
      <c r="N168">
        <f t="shared" si="22"/>
        <v>14424</v>
      </c>
      <c r="O168" t="str">
        <f t="shared" si="23"/>
        <v>Πυλαίας - Χορτιάτη</v>
      </c>
    </row>
    <row r="169" spans="1:15" x14ac:dyDescent="0.3">
      <c r="A169">
        <v>168</v>
      </c>
      <c r="B169" t="s">
        <v>406</v>
      </c>
      <c r="C169" t="s">
        <v>381</v>
      </c>
      <c r="D169" t="s">
        <v>208</v>
      </c>
      <c r="E169" t="str">
        <f t="shared" si="16"/>
        <v xml:space="preserve">ΘΕΣΣΑΛΙΑΣ - ΤΡΙΚΚΑΙΩΝ, </v>
      </c>
      <c r="F169" t="s">
        <v>707</v>
      </c>
      <c r="G169">
        <v>14494</v>
      </c>
      <c r="H169" t="str">
        <f t="shared" si="17"/>
        <v>ΝΑΙ</v>
      </c>
      <c r="I169" t="str">
        <f>LOOKUP(B169,ΠΕΡΙΦΕΡΕΙΑ!$A$2:$A$14,ΠΕΡΙΦΕΡΕΙΑ!$B$2:$B$14)</f>
        <v>Μερική</v>
      </c>
      <c r="J169">
        <f t="shared" si="20"/>
        <v>168</v>
      </c>
      <c r="K169">
        <f t="shared" si="21"/>
        <v>211</v>
      </c>
      <c r="L169" t="str">
        <f t="shared" si="18"/>
        <v>ΚΕΝΤΡΙΚΗΣ ΜΑΚΕΔΟΝΙΑΣ</v>
      </c>
      <c r="M169" t="str">
        <f t="shared" si="19"/>
        <v>ΚΕΝΤΡΙΚΗΣ ΜΑΚΕΔΟΝΙΑΣ - ΣΕΡΡΩΝ</v>
      </c>
      <c r="N169">
        <f t="shared" si="22"/>
        <v>14454</v>
      </c>
      <c r="O169" t="str">
        <f t="shared" si="23"/>
        <v>Σερρών</v>
      </c>
    </row>
    <row r="170" spans="1:15" x14ac:dyDescent="0.3">
      <c r="A170">
        <v>169</v>
      </c>
      <c r="B170" t="s">
        <v>406</v>
      </c>
      <c r="C170" t="s">
        <v>378</v>
      </c>
      <c r="D170" t="s">
        <v>196</v>
      </c>
      <c r="E170" t="str">
        <f t="shared" si="16"/>
        <v xml:space="preserve">ΘΕΣΣΑΛΙΑΣ - ΤΥΡΝΑΒΟΥ, </v>
      </c>
      <c r="F170" t="s">
        <v>708</v>
      </c>
      <c r="G170">
        <v>14506</v>
      </c>
      <c r="H170" t="str">
        <f t="shared" si="17"/>
        <v>ΝΑΙ</v>
      </c>
      <c r="I170" t="str">
        <f>LOOKUP(B170,ΠΕΡΙΦΕΡΕΙΑ!$A$2:$A$14,ΠΕΡΙΦΕΡΕΙΑ!$B$2:$B$14)</f>
        <v>Μερική</v>
      </c>
      <c r="J170">
        <f t="shared" si="20"/>
        <v>169</v>
      </c>
      <c r="K170">
        <f t="shared" si="21"/>
        <v>212</v>
      </c>
      <c r="L170" t="str">
        <f t="shared" si="18"/>
        <v>ΚΕΝΤΡΙΚΗΣ ΜΑΚΕΔΟΝΙΑΣ</v>
      </c>
      <c r="M170" t="str">
        <f t="shared" si="19"/>
        <v>ΚΕΝΤΡΙΚΗΣ ΜΑΚΕΔΟΝΙΑΣ - ΣΙΘΩΝΙΑΣ</v>
      </c>
      <c r="N170">
        <f t="shared" si="22"/>
        <v>14456</v>
      </c>
      <c r="O170" t="str">
        <f t="shared" si="23"/>
        <v>Σιθωνίας</v>
      </c>
    </row>
    <row r="171" spans="1:15" x14ac:dyDescent="0.3">
      <c r="A171">
        <v>170</v>
      </c>
      <c r="B171" t="s">
        <v>406</v>
      </c>
      <c r="C171" t="s">
        <v>381</v>
      </c>
      <c r="D171" t="s">
        <v>209</v>
      </c>
      <c r="E171" t="str">
        <f t="shared" si="16"/>
        <v xml:space="preserve">ΘΕΣΣΑΛΙΑΣ - ΦΑΡΚΑΔΟΝΑΣ, </v>
      </c>
      <c r="F171" t="s">
        <v>709</v>
      </c>
      <c r="G171">
        <v>13916</v>
      </c>
      <c r="H171" t="str">
        <f t="shared" si="17"/>
        <v>ΝΑΙ</v>
      </c>
      <c r="I171" t="str">
        <f>LOOKUP(B171,ΠΕΡΙΦΕΡΕΙΑ!$A$2:$A$14,ΠΕΡΙΦΕΡΕΙΑ!$B$2:$B$14)</f>
        <v>Μερική</v>
      </c>
      <c r="J171">
        <f t="shared" si="20"/>
        <v>170</v>
      </c>
      <c r="K171">
        <f t="shared" si="21"/>
        <v>214</v>
      </c>
      <c r="L171" t="str">
        <f t="shared" si="18"/>
        <v>ΚΕΝΤΡΙΚΗΣ ΜΑΚΕΔΟΝΙΑΣ</v>
      </c>
      <c r="M171" t="str">
        <f t="shared" si="19"/>
        <v>ΚΕΝΤΡΙΚΗΣ ΜΑΚΕΔΟΝΙΑΣ - ΣΚΥΔΡΑΣ</v>
      </c>
      <c r="N171">
        <f t="shared" si="22"/>
        <v>14472</v>
      </c>
      <c r="O171" t="str">
        <f t="shared" si="23"/>
        <v>Σκύδρας</v>
      </c>
    </row>
    <row r="172" spans="1:15" x14ac:dyDescent="0.3">
      <c r="A172">
        <v>171</v>
      </c>
      <c r="B172" t="s">
        <v>406</v>
      </c>
      <c r="C172" t="s">
        <v>378</v>
      </c>
      <c r="D172" t="s">
        <v>197</v>
      </c>
      <c r="E172" t="str">
        <f t="shared" si="16"/>
        <v xml:space="preserve">ΘΕΣΣΑΛΙΑΣ - ΦΑΡΣΑΛΩΝ, </v>
      </c>
      <c r="F172" t="s">
        <v>710</v>
      </c>
      <c r="G172">
        <v>14512</v>
      </c>
      <c r="H172" t="str">
        <f t="shared" si="17"/>
        <v>ΝΑΙ</v>
      </c>
      <c r="I172" t="str">
        <f>LOOKUP(B172,ΠΕΡΙΦΕΡΕΙΑ!$A$2:$A$14,ΠΕΡΙΦΕΡΕΙΑ!$B$2:$B$14)</f>
        <v>Μερική</v>
      </c>
      <c r="J172">
        <f t="shared" si="20"/>
        <v>171</v>
      </c>
      <c r="K172">
        <f t="shared" si="21"/>
        <v>215</v>
      </c>
      <c r="L172" t="str">
        <f t="shared" si="18"/>
        <v>ΚΕΝΤΡΙΚΗΣ ΜΑΚΕΔΟΝΙΑΣ</v>
      </c>
      <c r="M172" t="str">
        <f t="shared" si="19"/>
        <v>ΚΕΝΤΡΙΚΗΣ ΜΑΚΕΔΟΝΙΑΣ - ΧΑΛΚΗΔΟΝΟΣ</v>
      </c>
      <c r="N172">
        <f t="shared" si="22"/>
        <v>14544</v>
      </c>
      <c r="O172" t="str">
        <f t="shared" si="23"/>
        <v>Χαλκηδόνος</v>
      </c>
    </row>
    <row r="173" spans="1:15" x14ac:dyDescent="0.3">
      <c r="A173">
        <v>172</v>
      </c>
      <c r="B173" t="s">
        <v>407</v>
      </c>
      <c r="C173" t="s">
        <v>210</v>
      </c>
      <c r="D173" t="s">
        <v>210</v>
      </c>
      <c r="E173" t="str">
        <f t="shared" si="16"/>
        <v xml:space="preserve">ΙΟΝΙΩΝ ΝΗΣΩΝ - ΖΑΚΥΝΘΟΥ, </v>
      </c>
      <c r="F173" t="s">
        <v>711</v>
      </c>
      <c r="G173">
        <v>14108</v>
      </c>
      <c r="H173" t="str">
        <f t="shared" si="17"/>
        <v>ΝΑΙ</v>
      </c>
      <c r="I173" t="str">
        <f>LOOKUP(B173,ΠΕΡΙΦΕΡΕΙΑ!$A$2:$A$14,ΠΕΡΙΦΕΡΕΙΑ!$B$2:$B$14)</f>
        <v>Μερική</v>
      </c>
      <c r="J173">
        <f t="shared" si="20"/>
        <v>172</v>
      </c>
      <c r="K173">
        <f t="shared" si="21"/>
        <v>216</v>
      </c>
      <c r="L173" t="str">
        <f t="shared" si="18"/>
        <v>ΚΕΝΤΡΙΚΗΣ ΜΑΚΕΔΟΝΙΑΣ</v>
      </c>
      <c r="M173" t="str">
        <f t="shared" si="19"/>
        <v>ΚΕΝΤΡΙΚΗΣ ΜΑΚΕΔΟΝΙΑΣ - ΩΡΑΙΟΚΑΣΤΡΟΥ</v>
      </c>
      <c r="N173">
        <f t="shared" si="22"/>
        <v>14534</v>
      </c>
      <c r="O173" t="str">
        <f t="shared" si="23"/>
        <v>Ωραιοκάστρου</v>
      </c>
    </row>
    <row r="174" spans="1:15" x14ac:dyDescent="0.3">
      <c r="A174">
        <v>173</v>
      </c>
      <c r="B174" t="s">
        <v>407</v>
      </c>
      <c r="C174" t="s">
        <v>211</v>
      </c>
      <c r="D174" t="s">
        <v>211</v>
      </c>
      <c r="E174" t="str">
        <f t="shared" si="16"/>
        <v xml:space="preserve">ΙΟΝΙΩΝ ΝΗΣΩΝ - ΙΘΑΚΗΣ, </v>
      </c>
      <c r="F174" t="s">
        <v>712</v>
      </c>
      <c r="G174">
        <v>14146</v>
      </c>
      <c r="H174" t="str">
        <f t="shared" si="17"/>
        <v/>
      </c>
      <c r="I174" t="str">
        <f>LOOKUP(B174,ΠΕΡΙΦΕΡΕΙΑ!$A$2:$A$14,ΠΕΡΙΦΕΡΕΙΑ!$B$2:$B$14)</f>
        <v>Μερική</v>
      </c>
      <c r="J174" t="str">
        <f t="shared" si="20"/>
        <v/>
      </c>
      <c r="K174">
        <f t="shared" si="21"/>
        <v>218</v>
      </c>
      <c r="L174" t="str">
        <f t="shared" si="18"/>
        <v>ΚΡΗΤΗΣ</v>
      </c>
      <c r="M174" t="str">
        <f t="shared" si="19"/>
        <v>ΚΡΗΤΗΣ - ΑΓΙΟΥ ΝΙΚΟΛΑΟΥ</v>
      </c>
      <c r="N174">
        <f t="shared" si="22"/>
        <v>13930</v>
      </c>
      <c r="O174" t="str">
        <f t="shared" si="23"/>
        <v>Αγίου Νικολάου</v>
      </c>
    </row>
    <row r="175" spans="1:15" x14ac:dyDescent="0.3">
      <c r="A175">
        <v>174</v>
      </c>
      <c r="B175" t="s">
        <v>407</v>
      </c>
      <c r="C175" t="s">
        <v>212</v>
      </c>
      <c r="D175" t="s">
        <v>212</v>
      </c>
      <c r="E175" t="str">
        <f t="shared" si="16"/>
        <v xml:space="preserve">ΙΟΝΙΩΝ ΝΗΣΩΝ - ΚΕΡΚΥΡΑΣ, </v>
      </c>
      <c r="F175" t="s">
        <v>713</v>
      </c>
      <c r="G175">
        <v>14206</v>
      </c>
      <c r="H175" t="str">
        <f t="shared" si="17"/>
        <v>ΝΑΙ</v>
      </c>
      <c r="I175" t="str">
        <f>LOOKUP(B175,ΠΕΡΙΦΕΡΕΙΑ!$A$2:$A$14,ΠΕΡΙΦΕΡΕΙΑ!$B$2:$B$14)</f>
        <v>Μερική</v>
      </c>
      <c r="J175">
        <f t="shared" si="20"/>
        <v>174</v>
      </c>
      <c r="K175">
        <f t="shared" si="21"/>
        <v>220</v>
      </c>
      <c r="L175" t="str">
        <f t="shared" si="18"/>
        <v>ΚΡΗΤΗΣ</v>
      </c>
      <c r="M175" t="str">
        <f t="shared" si="19"/>
        <v>ΚΡΗΤΗΣ - ΑΝΩΓΕΙΩΝ</v>
      </c>
      <c r="N175">
        <f t="shared" si="22"/>
        <v>13908</v>
      </c>
      <c r="O175" t="str">
        <f t="shared" si="23"/>
        <v>Ανωγείων</v>
      </c>
    </row>
    <row r="176" spans="1:15" x14ac:dyDescent="0.3">
      <c r="A176">
        <v>175</v>
      </c>
      <c r="B176" t="s">
        <v>407</v>
      </c>
      <c r="C176" t="s">
        <v>382</v>
      </c>
      <c r="D176" t="s">
        <v>214</v>
      </c>
      <c r="E176" t="str">
        <f t="shared" si="16"/>
        <v xml:space="preserve">ΙΟΝΙΩΝ ΝΗΣΩΝ - ΚΕΦΑΛΟΝΙΑΣ, </v>
      </c>
      <c r="F176" t="s">
        <v>714</v>
      </c>
      <c r="G176">
        <v>14208</v>
      </c>
      <c r="H176" t="str">
        <f t="shared" si="17"/>
        <v>ΝΑΙ</v>
      </c>
      <c r="I176" t="str">
        <f>LOOKUP(B176,ΠΕΡΙΦΕΡΕΙΑ!$A$2:$A$14,ΠΕΡΙΦΕΡΕΙΑ!$B$2:$B$14)</f>
        <v>Μερική</v>
      </c>
      <c r="J176">
        <f t="shared" si="20"/>
        <v>175</v>
      </c>
      <c r="K176">
        <f t="shared" si="21"/>
        <v>221</v>
      </c>
      <c r="L176" t="str">
        <f t="shared" si="18"/>
        <v>ΚΡΗΤΗΣ</v>
      </c>
      <c r="M176" t="str">
        <f t="shared" si="19"/>
        <v>ΚΡΗΤΗΣ - ΑΠΟΚΟΡΩΝΟΥ</v>
      </c>
      <c r="N176">
        <f t="shared" si="22"/>
        <v>13990</v>
      </c>
      <c r="O176" t="str">
        <f t="shared" si="23"/>
        <v>Αποκορώνου</v>
      </c>
    </row>
    <row r="177" spans="1:15" x14ac:dyDescent="0.3">
      <c r="A177">
        <v>176</v>
      </c>
      <c r="B177" t="s">
        <v>407</v>
      </c>
      <c r="C177" t="s">
        <v>215</v>
      </c>
      <c r="D177" t="s">
        <v>215</v>
      </c>
      <c r="E177" t="str">
        <f t="shared" si="16"/>
        <v xml:space="preserve">ΙΟΝΙΩΝ ΝΗΣΩΝ - ΛΕΥΚΑΔΑΣ, </v>
      </c>
      <c r="F177" t="s">
        <v>715</v>
      </c>
      <c r="G177">
        <v>14238</v>
      </c>
      <c r="H177" t="str">
        <f t="shared" si="17"/>
        <v>ΝΑΙ</v>
      </c>
      <c r="I177" t="str">
        <f>LOOKUP(B177,ΠΕΡΙΦΕΡΕΙΑ!$A$2:$A$14,ΠΕΡΙΦΕΡΕΙΑ!$B$2:$B$14)</f>
        <v>Μερική</v>
      </c>
      <c r="J177">
        <f t="shared" si="20"/>
        <v>176</v>
      </c>
      <c r="K177">
        <f t="shared" si="21"/>
        <v>222</v>
      </c>
      <c r="L177" t="str">
        <f t="shared" si="18"/>
        <v>ΚΡΗΤΗΣ</v>
      </c>
      <c r="M177" t="str">
        <f t="shared" si="19"/>
        <v>ΚΡΗΤΗΣ - ΑΡΧΑΝΩΝ – ΑΣΤΕΡΟΥΣΙΩΝ</v>
      </c>
      <c r="N177">
        <f t="shared" si="22"/>
        <v>14002</v>
      </c>
      <c r="O177" t="str">
        <f t="shared" si="23"/>
        <v>Αρχανών - Αστερουσίων</v>
      </c>
    </row>
    <row r="178" spans="1:15" x14ac:dyDescent="0.3">
      <c r="A178">
        <v>177</v>
      </c>
      <c r="B178" t="s">
        <v>407</v>
      </c>
      <c r="C178" t="s">
        <v>215</v>
      </c>
      <c r="D178" t="s">
        <v>216</v>
      </c>
      <c r="E178" t="str">
        <f t="shared" si="16"/>
        <v xml:space="preserve">ΙΟΝΙΩΝ ΝΗΣΩΝ - ΜΕΓΑΝΗΣΙΟΥ, </v>
      </c>
      <c r="F178" t="s">
        <v>716</v>
      </c>
      <c r="G178">
        <v>14284</v>
      </c>
      <c r="H178" t="str">
        <f t="shared" si="17"/>
        <v/>
      </c>
      <c r="I178" t="str">
        <f>LOOKUP(B178,ΠΕΡΙΦΕΡΕΙΑ!$A$2:$A$14,ΠΕΡΙΦΕΡΕΙΑ!$B$2:$B$14)</f>
        <v>Μερική</v>
      </c>
      <c r="J178" t="str">
        <f t="shared" si="20"/>
        <v/>
      </c>
      <c r="K178">
        <f t="shared" si="21"/>
        <v>223</v>
      </c>
      <c r="L178" t="str">
        <f t="shared" si="18"/>
        <v>ΚΡΗΤΗΣ</v>
      </c>
      <c r="M178" t="str">
        <f t="shared" si="19"/>
        <v>ΚΡΗΤΗΣ - ΒΙΑΝΝΟΥ</v>
      </c>
      <c r="N178">
        <f t="shared" si="22"/>
        <v>14016</v>
      </c>
      <c r="O178" t="str">
        <f t="shared" si="23"/>
        <v>Βιάννου</v>
      </c>
    </row>
    <row r="179" spans="1:15" x14ac:dyDescent="0.3">
      <c r="A179">
        <v>178</v>
      </c>
      <c r="B179" t="s">
        <v>407</v>
      </c>
      <c r="C179" t="s">
        <v>212</v>
      </c>
      <c r="D179" t="s">
        <v>213</v>
      </c>
      <c r="E179" t="str">
        <f t="shared" si="16"/>
        <v xml:space="preserve">ΙΟΝΙΩΝ ΝΗΣΩΝ - ΠΑΞΩΝ, </v>
      </c>
      <c r="F179" t="s">
        <v>717</v>
      </c>
      <c r="G179">
        <v>14392</v>
      </c>
      <c r="H179" t="str">
        <f t="shared" si="17"/>
        <v/>
      </c>
      <c r="I179" t="str">
        <f>LOOKUP(B179,ΠΕΡΙΦΕΡΕΙΑ!$A$2:$A$14,ΠΕΡΙΦΕΡΕΙΑ!$B$2:$B$14)</f>
        <v>Μερική</v>
      </c>
      <c r="J179" t="str">
        <f t="shared" si="20"/>
        <v/>
      </c>
      <c r="K179">
        <f t="shared" si="21"/>
        <v>225</v>
      </c>
      <c r="L179" t="str">
        <f t="shared" si="18"/>
        <v>ΚΡΗΤΗΣ</v>
      </c>
      <c r="M179" t="str">
        <f t="shared" si="19"/>
        <v>ΚΡΗΤΗΣ - ΓΟΡΤΥΝΑΣ</v>
      </c>
      <c r="N179">
        <f t="shared" si="22"/>
        <v>14044</v>
      </c>
      <c r="O179" t="str">
        <f t="shared" si="23"/>
        <v>Γόρτυνας</v>
      </c>
    </row>
    <row r="180" spans="1:15" x14ac:dyDescent="0.3">
      <c r="A180">
        <v>179</v>
      </c>
      <c r="B180" t="s">
        <v>408</v>
      </c>
      <c r="C180" t="s">
        <v>383</v>
      </c>
      <c r="D180" t="s">
        <v>217</v>
      </c>
      <c r="E180" t="str">
        <f t="shared" si="16"/>
        <v xml:space="preserve">ΚΕΝΤΡΙΚΗΣ ΜΑΚΕΔΟΝΙΑΣ - ΑΛΕΞΑΝΔΡΕΙΑΣ, </v>
      </c>
      <c r="F180" t="s">
        <v>718</v>
      </c>
      <c r="G180">
        <v>13918</v>
      </c>
      <c r="H180" t="str">
        <f t="shared" si="17"/>
        <v>ΝΑΙ</v>
      </c>
      <c r="I180" t="str">
        <f>LOOKUP(B180,ΠΕΡΙΦΕΡΕΙΑ!$A$2:$A$14,ΠΕΡΙΦΕΡΕΙΑ!$B$2:$B$14)</f>
        <v>Μερική</v>
      </c>
      <c r="J180">
        <f t="shared" si="20"/>
        <v>179</v>
      </c>
      <c r="K180">
        <f t="shared" si="21"/>
        <v>226</v>
      </c>
      <c r="L180" t="str">
        <f t="shared" si="18"/>
        <v>ΚΡΗΤΗΣ</v>
      </c>
      <c r="M180" t="str">
        <f t="shared" si="19"/>
        <v>ΚΡΗΤΗΣ - ΗΡΑΚΛΕΙΟΥ</v>
      </c>
      <c r="N180">
        <f t="shared" si="22"/>
        <v>14122</v>
      </c>
      <c r="O180" t="str">
        <f t="shared" si="23"/>
        <v>Ηρακλείου</v>
      </c>
    </row>
    <row r="181" spans="1:15" x14ac:dyDescent="0.3">
      <c r="A181">
        <v>180</v>
      </c>
      <c r="B181" t="s">
        <v>408</v>
      </c>
      <c r="C181" t="s">
        <v>238</v>
      </c>
      <c r="D181" t="s">
        <v>236</v>
      </c>
      <c r="E181" t="str">
        <f t="shared" si="16"/>
        <v xml:space="preserve">ΚΕΝΤΡΙΚΗΣ ΜΑΚΕΔΟΝΙΑΣ - ΑΛΜΩΠΙΑΣ, </v>
      </c>
      <c r="F181" t="s">
        <v>719</v>
      </c>
      <c r="G181">
        <v>13952</v>
      </c>
      <c r="H181" t="str">
        <f t="shared" si="17"/>
        <v>ΝΑΙ</v>
      </c>
      <c r="I181" t="str">
        <f>LOOKUP(B181,ΠΕΡΙΦΕΡΕΙΑ!$A$2:$A$14,ΠΕΡΙΦΕΡΕΙΑ!$B$2:$B$14)</f>
        <v>Μερική</v>
      </c>
      <c r="J181">
        <f t="shared" si="20"/>
        <v>180</v>
      </c>
      <c r="K181">
        <f t="shared" si="21"/>
        <v>227</v>
      </c>
      <c r="L181" t="str">
        <f t="shared" si="18"/>
        <v>ΚΡΗΤΗΣ</v>
      </c>
      <c r="M181" t="str">
        <f t="shared" si="19"/>
        <v>ΚΡΗΤΗΣ - ΙΕΡΑΠΕΤΡΑΣ</v>
      </c>
      <c r="N181">
        <f t="shared" si="22"/>
        <v>14134</v>
      </c>
      <c r="O181" t="str">
        <f t="shared" si="23"/>
        <v>Ιεράπετρας</v>
      </c>
    </row>
    <row r="182" spans="1:15" x14ac:dyDescent="0.3">
      <c r="A182">
        <v>181</v>
      </c>
      <c r="B182" t="s">
        <v>408</v>
      </c>
      <c r="C182" t="s">
        <v>225</v>
      </c>
      <c r="D182" t="s">
        <v>220</v>
      </c>
      <c r="E182" t="str">
        <f t="shared" si="16"/>
        <v xml:space="preserve">ΚΕΝΤΡΙΚΗΣ ΜΑΚΕΔΟΝΙΑΣ - ΑΜΠΕΛΟΚΗΠΩΝ – ΜΕΝΕΜΕΝΗΣ, </v>
      </c>
      <c r="F182" t="s">
        <v>720</v>
      </c>
      <c r="G182">
        <v>13968</v>
      </c>
      <c r="H182" t="str">
        <f t="shared" si="17"/>
        <v>ΝΑΙ</v>
      </c>
      <c r="I182" t="str">
        <f>LOOKUP(B182,ΠΕΡΙΦΕΡΕΙΑ!$A$2:$A$14,ΠΕΡΙΦΕΡΕΙΑ!$B$2:$B$14)</f>
        <v>Μερική</v>
      </c>
      <c r="J182">
        <f t="shared" si="20"/>
        <v>181</v>
      </c>
      <c r="K182">
        <f t="shared" si="21"/>
        <v>228</v>
      </c>
      <c r="L182" t="str">
        <f t="shared" si="18"/>
        <v>ΚΡΗΤΗΣ</v>
      </c>
      <c r="M182" t="str">
        <f t="shared" si="19"/>
        <v>ΚΡΗΤΗΣ - ΚΑΝΤΑΝΟΥ – ΣΕΛΙΝΟΥ</v>
      </c>
      <c r="N182">
        <f t="shared" si="22"/>
        <v>14186</v>
      </c>
      <c r="O182" t="str">
        <f t="shared" si="23"/>
        <v>Καντάνου - Σέλινου</v>
      </c>
    </row>
    <row r="183" spans="1:15" x14ac:dyDescent="0.3">
      <c r="A183">
        <v>182</v>
      </c>
      <c r="B183" t="s">
        <v>408</v>
      </c>
      <c r="C183" t="s">
        <v>248</v>
      </c>
      <c r="D183" t="s">
        <v>243</v>
      </c>
      <c r="E183" t="str">
        <f t="shared" si="16"/>
        <v xml:space="preserve">ΚΕΝΤΡΙΚΗΣ ΜΑΚΕΔΟΝΙΑΣ - ΑΜΦΙΠΟΛΗΣ, </v>
      </c>
      <c r="F183" t="s">
        <v>721</v>
      </c>
      <c r="G183">
        <v>13976</v>
      </c>
      <c r="H183" t="str">
        <f t="shared" si="17"/>
        <v/>
      </c>
      <c r="I183" t="str">
        <f>LOOKUP(B183,ΠΕΡΙΦΕΡΕΙΑ!$A$2:$A$14,ΠΕΡΙΦΕΡΕΙΑ!$B$2:$B$14)</f>
        <v>Μερική</v>
      </c>
      <c r="J183" t="str">
        <f t="shared" si="20"/>
        <v/>
      </c>
      <c r="K183">
        <f t="shared" si="21"/>
        <v>229</v>
      </c>
      <c r="L183" t="str">
        <f t="shared" si="18"/>
        <v>ΚΡΗΤΗΣ</v>
      </c>
      <c r="M183" t="str">
        <f t="shared" si="19"/>
        <v>ΚΡΗΤΗΣ - ΚΙΣΣΑΜΟΥ</v>
      </c>
      <c r="N183">
        <f t="shared" si="22"/>
        <v>14216</v>
      </c>
      <c r="O183" t="str">
        <f t="shared" si="23"/>
        <v>Κισσάμου</v>
      </c>
    </row>
    <row r="184" spans="1:15" x14ac:dyDescent="0.3">
      <c r="A184">
        <v>183</v>
      </c>
      <c r="B184" t="s">
        <v>408</v>
      </c>
      <c r="C184" t="s">
        <v>385</v>
      </c>
      <c r="D184" t="s">
        <v>250</v>
      </c>
      <c r="E184" t="str">
        <f t="shared" si="16"/>
        <v xml:space="preserve">ΚΕΝΤΡΙΚΗΣ ΜΑΚΕΔΟΝΙΑΣ - ΑΡΙΣΤΟΤΕΛΗ, </v>
      </c>
      <c r="F184" t="s">
        <v>722</v>
      </c>
      <c r="G184">
        <v>13996</v>
      </c>
      <c r="H184" t="str">
        <f t="shared" si="17"/>
        <v/>
      </c>
      <c r="I184" t="str">
        <f>LOOKUP(B184,ΠΕΡΙΦΕΡΕΙΑ!$A$2:$A$14,ΠΕΡΙΦΕΡΕΙΑ!$B$2:$B$14)</f>
        <v>Μερική</v>
      </c>
      <c r="J184" t="str">
        <f t="shared" si="20"/>
        <v/>
      </c>
      <c r="K184">
        <f t="shared" si="21"/>
        <v>230</v>
      </c>
      <c r="L184" t="str">
        <f t="shared" si="18"/>
        <v>ΚΡΗΤΗΣ</v>
      </c>
      <c r="M184" t="str">
        <f t="shared" si="19"/>
        <v>ΚΡΗΤΗΣ - ΜΑΛΕΒΙΖΙΟΥ</v>
      </c>
      <c r="N184">
        <f t="shared" si="22"/>
        <v>14264</v>
      </c>
      <c r="O184" t="str">
        <f t="shared" si="23"/>
        <v>Μαλεβιζίου</v>
      </c>
    </row>
    <row r="185" spans="1:15" x14ac:dyDescent="0.3">
      <c r="A185">
        <v>184</v>
      </c>
      <c r="B185" t="s">
        <v>408</v>
      </c>
      <c r="C185" t="s">
        <v>383</v>
      </c>
      <c r="D185" t="s">
        <v>218</v>
      </c>
      <c r="E185" t="str">
        <f t="shared" si="16"/>
        <v xml:space="preserve">ΚΕΝΤΡΙΚΗΣ ΜΑΚΕΔΟΝΙΑΣ - ΒΕΡΟΙΑΣ, </v>
      </c>
      <c r="F185" t="s">
        <v>723</v>
      </c>
      <c r="G185">
        <v>14014</v>
      </c>
      <c r="H185" t="str">
        <f t="shared" si="17"/>
        <v>ΝΑΙ</v>
      </c>
      <c r="I185" t="str">
        <f>LOOKUP(B185,ΠΕΡΙΦΕΡΕΙΑ!$A$2:$A$14,ΠΕΡΙΦΕΡΕΙΑ!$B$2:$B$14)</f>
        <v>Μερική</v>
      </c>
      <c r="J185">
        <f t="shared" si="20"/>
        <v>184</v>
      </c>
      <c r="K185">
        <f t="shared" si="21"/>
        <v>231</v>
      </c>
      <c r="L185" t="str">
        <f t="shared" si="18"/>
        <v>ΚΡΗΤΗΣ</v>
      </c>
      <c r="M185" t="str">
        <f t="shared" si="19"/>
        <v>ΚΡΗΤΗΣ - ΜΙΝΩΑ ΠΕΔΙΑΔΑΣ</v>
      </c>
      <c r="N185">
        <f t="shared" si="22"/>
        <v>14298</v>
      </c>
      <c r="O185" t="str">
        <f t="shared" si="23"/>
        <v>Μινώα Πεδιάδας</v>
      </c>
    </row>
    <row r="186" spans="1:15" x14ac:dyDescent="0.3">
      <c r="A186">
        <v>185</v>
      </c>
      <c r="B186" t="s">
        <v>408</v>
      </c>
      <c r="C186" t="s">
        <v>248</v>
      </c>
      <c r="D186" t="s">
        <v>244</v>
      </c>
      <c r="E186" t="str">
        <f t="shared" si="16"/>
        <v xml:space="preserve">ΚΕΝΤΡΙΚΗΣ ΜΑΚΕΔΟΝΙΑΣ - ΒΙΣΑΛΤΙΑΣ, </v>
      </c>
      <c r="F186" t="s">
        <v>724</v>
      </c>
      <c r="G186">
        <v>14018</v>
      </c>
      <c r="H186" t="str">
        <f t="shared" si="17"/>
        <v/>
      </c>
      <c r="I186" t="str">
        <f>LOOKUP(B186,ΠΕΡΙΦΕΡΕΙΑ!$A$2:$A$14,ΠΕΡΙΦΕΡΕΙΑ!$B$2:$B$14)</f>
        <v>Μερική</v>
      </c>
      <c r="J186" t="str">
        <f t="shared" si="20"/>
        <v/>
      </c>
      <c r="K186">
        <f t="shared" si="21"/>
        <v>232</v>
      </c>
      <c r="L186" t="str">
        <f t="shared" si="18"/>
        <v>ΚΡΗΤΗΣ</v>
      </c>
      <c r="M186" t="str">
        <f t="shared" si="19"/>
        <v>ΚΡΗΤΗΣ - ΜΥΛΟΠΟΤΑΜΟΥ</v>
      </c>
      <c r="N186">
        <f t="shared" si="22"/>
        <v>14270</v>
      </c>
      <c r="O186" t="str">
        <f t="shared" si="23"/>
        <v>Μυλοποτάμου</v>
      </c>
    </row>
    <row r="187" spans="1:15" x14ac:dyDescent="0.3">
      <c r="A187">
        <v>186</v>
      </c>
      <c r="B187" t="s">
        <v>408</v>
      </c>
      <c r="C187" t="s">
        <v>225</v>
      </c>
      <c r="D187" t="s">
        <v>221</v>
      </c>
      <c r="E187" t="str">
        <f t="shared" si="16"/>
        <v xml:space="preserve">ΚΕΝΤΡΙΚΗΣ ΜΑΚΕΔΟΝΙΑΣ - ΒΟΛΒΗΣ, </v>
      </c>
      <c r="F187" t="s">
        <v>725</v>
      </c>
      <c r="G187">
        <v>14030</v>
      </c>
      <c r="H187" t="str">
        <f t="shared" si="17"/>
        <v>ΝΑΙ</v>
      </c>
      <c r="I187" t="str">
        <f>LOOKUP(B187,ΠΕΡΙΦΕΡΕΙΑ!$A$2:$A$14,ΠΕΡΙΦΕΡΕΙΑ!$B$2:$B$14)</f>
        <v>Μερική</v>
      </c>
      <c r="J187">
        <f t="shared" si="20"/>
        <v>186</v>
      </c>
      <c r="K187">
        <f t="shared" si="21"/>
        <v>233</v>
      </c>
      <c r="L187" t="str">
        <f t="shared" si="18"/>
        <v>ΚΡΗΤΗΣ</v>
      </c>
      <c r="M187" t="str">
        <f t="shared" si="19"/>
        <v>ΚΡΗΤΗΣ - ΟΡΟΠΕΔΙΟΥ ΛΑΣΙΘΙΟΥ</v>
      </c>
      <c r="N187">
        <f t="shared" si="22"/>
        <v>14358</v>
      </c>
      <c r="O187" t="str">
        <f t="shared" si="23"/>
        <v>Οροπεδίου Λασιθίου</v>
      </c>
    </row>
    <row r="188" spans="1:15" x14ac:dyDescent="0.3">
      <c r="A188">
        <v>187</v>
      </c>
      <c r="B188" t="s">
        <v>408</v>
      </c>
      <c r="C188" t="s">
        <v>225</v>
      </c>
      <c r="D188" t="s">
        <v>222</v>
      </c>
      <c r="E188" t="str">
        <f t="shared" si="16"/>
        <v xml:space="preserve">ΚΕΝΤΡΙΚΗΣ ΜΑΚΕΔΟΝΙΑΣ - ΔΕΛΤΑ, </v>
      </c>
      <c r="F188" t="s">
        <v>726</v>
      </c>
      <c r="G188">
        <v>14050</v>
      </c>
      <c r="H188" t="str">
        <f t="shared" si="17"/>
        <v>ΝΑΙ</v>
      </c>
      <c r="I188" t="str">
        <f>LOOKUP(B188,ΠΕΡΙΦΕΡΕΙΑ!$A$2:$A$14,ΠΕΡΙΦΕΡΕΙΑ!$B$2:$B$14)</f>
        <v>Μερική</v>
      </c>
      <c r="J188">
        <f t="shared" si="20"/>
        <v>187</v>
      </c>
      <c r="K188">
        <f t="shared" si="21"/>
        <v>235</v>
      </c>
      <c r="L188" t="str">
        <f t="shared" si="18"/>
        <v>ΚΡΗΤΗΣ</v>
      </c>
      <c r="M188" t="str">
        <f t="shared" si="19"/>
        <v>ΚΡΗΤΗΣ - ΡΕΘΥΜΝΗΣ</v>
      </c>
      <c r="N188">
        <f t="shared" si="22"/>
        <v>14428</v>
      </c>
      <c r="O188" t="str">
        <f t="shared" si="23"/>
        <v>Ρεθύμνης</v>
      </c>
    </row>
    <row r="189" spans="1:15" x14ac:dyDescent="0.3">
      <c r="A189">
        <v>188</v>
      </c>
      <c r="B189" t="s">
        <v>408</v>
      </c>
      <c r="C189" t="s">
        <v>384</v>
      </c>
      <c r="D189" t="s">
        <v>240</v>
      </c>
      <c r="E189" t="str">
        <f t="shared" si="16"/>
        <v xml:space="preserve">ΚΕΝΤΡΙΚΗΣ ΜΑΚΕΔΟΝΙΑΣ - ΔΙΟΥ – ΟΛΥΜΠΟΥ, </v>
      </c>
      <c r="F189" t="s">
        <v>727</v>
      </c>
      <c r="G189">
        <v>14062</v>
      </c>
      <c r="H189" t="str">
        <f t="shared" si="17"/>
        <v>ΝΑΙ</v>
      </c>
      <c r="I189" t="str">
        <f>LOOKUP(B189,ΠΕΡΙΦΕΡΕΙΑ!$A$2:$A$14,ΠΕΡΙΦΕΡΕΙΑ!$B$2:$B$14)</f>
        <v>Μερική</v>
      </c>
      <c r="J189">
        <f t="shared" si="20"/>
        <v>188</v>
      </c>
      <c r="K189">
        <f t="shared" si="21"/>
        <v>236</v>
      </c>
      <c r="L189" t="str">
        <f t="shared" si="18"/>
        <v>ΚΡΗΤΗΣ</v>
      </c>
      <c r="M189" t="str">
        <f t="shared" si="19"/>
        <v>ΚΡΗΤΗΣ - ΣΗΤΕΙΑΣ</v>
      </c>
      <c r="N189">
        <f t="shared" si="22"/>
        <v>14452</v>
      </c>
      <c r="O189" t="str">
        <f t="shared" si="23"/>
        <v>Σητείας</v>
      </c>
    </row>
    <row r="190" spans="1:15" x14ac:dyDescent="0.3">
      <c r="A190">
        <v>189</v>
      </c>
      <c r="B190" t="s">
        <v>408</v>
      </c>
      <c r="C190" t="s">
        <v>238</v>
      </c>
      <c r="D190" t="s">
        <v>237</v>
      </c>
      <c r="E190" t="str">
        <f t="shared" si="16"/>
        <v xml:space="preserve">ΚΕΝΤΡΙΚΗΣ ΜΑΚΕΔΟΝΙΑΣ - ΕΔΕΣΣΑΣ, </v>
      </c>
      <c r="F190" t="s">
        <v>728</v>
      </c>
      <c r="G190">
        <v>14080</v>
      </c>
      <c r="H190" t="str">
        <f t="shared" si="17"/>
        <v>ΝΑΙ</v>
      </c>
      <c r="I190" t="str">
        <f>LOOKUP(B190,ΠΕΡΙΦΕΡΕΙΑ!$A$2:$A$14,ΠΕΡΙΦΕΡΕΙΑ!$B$2:$B$14)</f>
        <v>Μερική</v>
      </c>
      <c r="J190">
        <f t="shared" si="20"/>
        <v>189</v>
      </c>
      <c r="K190">
        <f t="shared" si="21"/>
        <v>237</v>
      </c>
      <c r="L190" t="str">
        <f t="shared" si="18"/>
        <v>ΚΡΗΤΗΣ</v>
      </c>
      <c r="M190" t="str">
        <f t="shared" si="19"/>
        <v>ΚΡΗΤΗΣ - ΣΦΑΚΙΩΝ</v>
      </c>
      <c r="N190">
        <f t="shared" si="22"/>
        <v>14442</v>
      </c>
      <c r="O190" t="str">
        <f t="shared" si="23"/>
        <v>Σφακίων</v>
      </c>
    </row>
    <row r="191" spans="1:15" x14ac:dyDescent="0.3">
      <c r="A191">
        <v>190</v>
      </c>
      <c r="B191" t="s">
        <v>408</v>
      </c>
      <c r="C191" t="s">
        <v>248</v>
      </c>
      <c r="D191" t="s">
        <v>245</v>
      </c>
      <c r="E191" t="str">
        <f t="shared" si="16"/>
        <v xml:space="preserve">ΚΕΝΤΡΙΚΗΣ ΜΑΚΕΔΟΝΙΑΣ - ΕΜΜΑΝΟΥΗΛ ΠΑΠΠΑ, </v>
      </c>
      <c r="F191" t="s">
        <v>729</v>
      </c>
      <c r="G191">
        <v>14088</v>
      </c>
      <c r="H191" t="str">
        <f t="shared" si="17"/>
        <v>ΝΑΙ</v>
      </c>
      <c r="I191" t="str">
        <f>LOOKUP(B191,ΠΕΡΙΦΕΡΕΙΑ!$A$2:$A$14,ΠΕΡΙΦΕΡΕΙΑ!$B$2:$B$14)</f>
        <v>Μερική</v>
      </c>
      <c r="J191">
        <f t="shared" si="20"/>
        <v>190</v>
      </c>
      <c r="K191">
        <f t="shared" si="21"/>
        <v>238</v>
      </c>
      <c r="L191" t="str">
        <f t="shared" si="18"/>
        <v>ΚΡΗΤΗΣ</v>
      </c>
      <c r="M191" t="str">
        <f t="shared" si="19"/>
        <v>ΚΡΗΤΗΣ - ΦΑΙΣΤΟΥ</v>
      </c>
      <c r="N191">
        <f t="shared" si="22"/>
        <v>14510</v>
      </c>
      <c r="O191" t="str">
        <f t="shared" si="23"/>
        <v>Φαιστού</v>
      </c>
    </row>
    <row r="192" spans="1:15" x14ac:dyDescent="0.3">
      <c r="A192">
        <v>191</v>
      </c>
      <c r="B192" t="s">
        <v>408</v>
      </c>
      <c r="C192" t="s">
        <v>248</v>
      </c>
      <c r="D192" t="s">
        <v>246</v>
      </c>
      <c r="E192" t="str">
        <f t="shared" si="16"/>
        <v xml:space="preserve">ΚΕΝΤΡΙΚΗΣ ΜΑΚΕΔΟΝΙΑΣ - ΗΡΑΚΛΕΙΑΣ, </v>
      </c>
      <c r="F192" t="s">
        <v>730</v>
      </c>
      <c r="G192">
        <v>13914</v>
      </c>
      <c r="H192" t="str">
        <f t="shared" si="17"/>
        <v>ΝΑΙ</v>
      </c>
      <c r="I192" t="str">
        <f>LOOKUP(B192,ΠΕΡΙΦΕΡΕΙΑ!$A$2:$A$14,ΠΕΡΙΦΕΡΕΙΑ!$B$2:$B$14)</f>
        <v>Μερική</v>
      </c>
      <c r="J192">
        <f t="shared" si="20"/>
        <v>191</v>
      </c>
      <c r="K192">
        <f t="shared" si="21"/>
        <v>239</v>
      </c>
      <c r="L192" t="str">
        <f t="shared" si="18"/>
        <v>ΚΡΗΤΗΣ</v>
      </c>
      <c r="M192" t="str">
        <f t="shared" si="19"/>
        <v>ΚΡΗΤΗΣ - ΧΑΝΙΩΝ</v>
      </c>
      <c r="N192">
        <f t="shared" si="22"/>
        <v>14532</v>
      </c>
      <c r="O192" t="str">
        <f t="shared" si="23"/>
        <v>Χανίων</v>
      </c>
    </row>
    <row r="193" spans="1:15" x14ac:dyDescent="0.3">
      <c r="A193">
        <v>192</v>
      </c>
      <c r="B193" t="s">
        <v>408</v>
      </c>
      <c r="C193" t="s">
        <v>225</v>
      </c>
      <c r="D193" t="s">
        <v>223</v>
      </c>
      <c r="E193" t="str">
        <f t="shared" si="16"/>
        <v xml:space="preserve">ΚΕΝΤΡΙΚΗΣ ΜΑΚΕΔΟΝΙΑΣ - ΘΕΡΜΑΪΚΟΥ, </v>
      </c>
      <c r="F193" t="s">
        <v>731</v>
      </c>
      <c r="G193">
        <v>14126</v>
      </c>
      <c r="H193" t="str">
        <f t="shared" si="17"/>
        <v>ΝΑΙ</v>
      </c>
      <c r="I193" t="str">
        <f>LOOKUP(B193,ΠΕΡΙΦΕΡΕΙΑ!$A$2:$A$14,ΠΕΡΙΦΕΡΕΙΑ!$B$2:$B$14)</f>
        <v>Μερική</v>
      </c>
      <c r="J193">
        <f t="shared" si="20"/>
        <v>192</v>
      </c>
      <c r="K193">
        <f t="shared" si="21"/>
        <v>240</v>
      </c>
      <c r="L193" t="str">
        <f t="shared" si="18"/>
        <v>ΚΡΗΤΗΣ</v>
      </c>
      <c r="M193" t="str">
        <f t="shared" si="19"/>
        <v>ΚΡΗΤΗΣ - ΧΕΡΣΟΝΗΣΟΥ</v>
      </c>
      <c r="N193">
        <f t="shared" si="22"/>
        <v>14540</v>
      </c>
      <c r="O193" t="str">
        <f t="shared" si="23"/>
        <v>Χερσονήσου</v>
      </c>
    </row>
    <row r="194" spans="1:15" x14ac:dyDescent="0.3">
      <c r="A194">
        <v>193</v>
      </c>
      <c r="B194" t="s">
        <v>408</v>
      </c>
      <c r="C194" t="s">
        <v>225</v>
      </c>
      <c r="D194" t="s">
        <v>224</v>
      </c>
      <c r="E194" t="str">
        <f t="shared" ref="E194:E257" si="24">B194&amp;" - "&amp;D194&amp;", "</f>
        <v xml:space="preserve">ΚΕΝΤΡΙΚΗΣ ΜΑΚΕΔΟΝΙΑΣ - ΘΕΡΜΗΣ, </v>
      </c>
      <c r="F194" t="s">
        <v>732</v>
      </c>
      <c r="G194">
        <v>14128</v>
      </c>
      <c r="H194" t="str">
        <f t="shared" ref="H194:H257" si="25">_xlfn.IFNA(INDEX(DimosNaiOxi,MATCH(E194,DimosNai,0)),"")</f>
        <v>ΝΑΙ</v>
      </c>
      <c r="I194" t="str">
        <f>LOOKUP(B194,ΠΕΡΙΦΕΡΕΙΑ!$A$2:$A$14,ΠΕΡΙΦΕΡΕΙΑ!$B$2:$B$14)</f>
        <v>Μερική</v>
      </c>
      <c r="J194">
        <f t="shared" si="20"/>
        <v>193</v>
      </c>
      <c r="K194">
        <f t="shared" si="21"/>
        <v>244</v>
      </c>
      <c r="L194" t="str">
        <f t="shared" ref="L194:L257" si="26">IF(ISNUMBER(K194),LOOKUP(K194,A:A,B:B),"")</f>
        <v>ΝΟΤΙΟΥ ΑΙΓΑΙΟΥ</v>
      </c>
      <c r="M194" t="str">
        <f t="shared" ref="M194:M257" si="27">IF(ISNUMBER(K194),LOOKUP(K194,A:A,B:B)&amp;" - "&amp;LOOKUP(K194,A:A,D:D),"")</f>
        <v>ΝΟΤΙΟΥ ΑΙΓΑΙΟΥ - ΑΝΔΡΟΥ</v>
      </c>
      <c r="N194">
        <f t="shared" si="22"/>
        <v>13988</v>
      </c>
      <c r="O194" t="str">
        <f t="shared" si="23"/>
        <v>Άνδρου</v>
      </c>
    </row>
    <row r="195" spans="1:15" x14ac:dyDescent="0.3">
      <c r="A195">
        <v>194</v>
      </c>
      <c r="B195" t="s">
        <v>408</v>
      </c>
      <c r="C195" t="s">
        <v>225</v>
      </c>
      <c r="D195" t="s">
        <v>225</v>
      </c>
      <c r="E195" t="str">
        <f t="shared" si="24"/>
        <v xml:space="preserve">ΚΕΝΤΡΙΚΗΣ ΜΑΚΕΔΟΝΙΑΣ - ΘΕΣΣΑΛΟΝΙΚΗΣ, </v>
      </c>
      <c r="F195" t="s">
        <v>733</v>
      </c>
      <c r="G195">
        <v>14130</v>
      </c>
      <c r="H195" t="str">
        <f t="shared" si="25"/>
        <v>ΝΑΙ</v>
      </c>
      <c r="I195" t="str">
        <f>LOOKUP(B195,ΠΕΡΙΦΕΡΕΙΑ!$A$2:$A$14,ΠΕΡΙΦΕΡΕΙΑ!$B$2:$B$14)</f>
        <v>Μερική</v>
      </c>
      <c r="J195">
        <f t="shared" ref="J195:J258" si="28">IF(OR(AND(I195="Μερική",H195="ΝΑΙ"),I195="Ολική"),A195,"")</f>
        <v>194</v>
      </c>
      <c r="K195">
        <f t="shared" ref="K195:K258" si="29">SMALL(J:J,A195)</f>
        <v>247</v>
      </c>
      <c r="L195" t="str">
        <f t="shared" si="26"/>
        <v>ΝΟΤΙΟΥ ΑΙΓΑΙΟΥ</v>
      </c>
      <c r="M195" t="str">
        <f t="shared" si="27"/>
        <v>ΝΟΤΙΟΥ ΑΙΓΑΙΟΥ - ΘΗΡΑΣ</v>
      </c>
      <c r="N195">
        <f t="shared" ref="N195:N258" si="30">IF(ISNUMBER(K195),LOOKUP(K195,A:A,G:G),"")</f>
        <v>14138</v>
      </c>
      <c r="O195" t="str">
        <f t="shared" ref="O195:O258" si="31">IF(ISNUMBER(K195),LOOKUP(K195,A:A,F:F),"")</f>
        <v>Θήρας</v>
      </c>
    </row>
    <row r="196" spans="1:15" x14ac:dyDescent="0.3">
      <c r="A196">
        <v>195</v>
      </c>
      <c r="B196" t="s">
        <v>408</v>
      </c>
      <c r="C196" t="s">
        <v>225</v>
      </c>
      <c r="D196" t="s">
        <v>226</v>
      </c>
      <c r="E196" t="str">
        <f t="shared" si="24"/>
        <v xml:space="preserve">ΚΕΝΤΡΙΚΗΣ ΜΑΚΕΔΟΝΙΑΣ - ΚΑΛΑΜΑΡΙΑΣ, </v>
      </c>
      <c r="F196" t="s">
        <v>734</v>
      </c>
      <c r="G196">
        <v>14176</v>
      </c>
      <c r="H196" t="str">
        <f t="shared" si="25"/>
        <v>ΝΑΙ</v>
      </c>
      <c r="I196" t="str">
        <f>LOOKUP(B196,ΠΕΡΙΦΕΡΕΙΑ!$A$2:$A$14,ΠΕΡΙΦΕΡΕΙΑ!$B$2:$B$14)</f>
        <v>Μερική</v>
      </c>
      <c r="J196">
        <f t="shared" si="28"/>
        <v>195</v>
      </c>
      <c r="K196">
        <f t="shared" si="29"/>
        <v>255</v>
      </c>
      <c r="L196" t="str">
        <f t="shared" si="26"/>
        <v>ΝΟΤΙΟΥ ΑΙΓΑΙΟΥ</v>
      </c>
      <c r="M196" t="str">
        <f t="shared" si="27"/>
        <v>ΝΟΤΙΟΥ ΑΙΓΑΙΟΥ - ΚΩ</v>
      </c>
      <c r="N196">
        <f t="shared" si="30"/>
        <v>14170</v>
      </c>
      <c r="O196" t="str">
        <f t="shared" si="31"/>
        <v>Κω</v>
      </c>
    </row>
    <row r="197" spans="1:15" x14ac:dyDescent="0.3">
      <c r="A197">
        <v>196</v>
      </c>
      <c r="B197" t="s">
        <v>408</v>
      </c>
      <c r="C197" t="s">
        <v>385</v>
      </c>
      <c r="D197" t="s">
        <v>251</v>
      </c>
      <c r="E197" t="str">
        <f t="shared" si="24"/>
        <v xml:space="preserve">ΚΕΝΤΡΙΚΗΣ ΜΑΚΕΔΟΝΙΑΣ - ΚΑΣΣΑΝΔΡΑΣ, </v>
      </c>
      <c r="F197" t="s">
        <v>735</v>
      </c>
      <c r="G197">
        <v>14192</v>
      </c>
      <c r="H197" t="str">
        <f t="shared" si="25"/>
        <v/>
      </c>
      <c r="I197" t="str">
        <f>LOOKUP(B197,ΠΕΡΙΦΕΡΕΙΑ!$A$2:$A$14,ΠΕΡΙΦΕΡΕΙΑ!$B$2:$B$14)</f>
        <v>Μερική</v>
      </c>
      <c r="J197" t="str">
        <f t="shared" si="28"/>
        <v/>
      </c>
      <c r="K197">
        <f t="shared" si="29"/>
        <v>259</v>
      </c>
      <c r="L197" t="str">
        <f t="shared" si="26"/>
        <v>ΝΟΤΙΟΥ ΑΙΓΑΙΟΥ</v>
      </c>
      <c r="M197" t="str">
        <f t="shared" si="27"/>
        <v>ΝΟΤΙΟΥ ΑΙΓΑΙΟΥ - ΜΗΛΟΥ</v>
      </c>
      <c r="N197">
        <f t="shared" si="30"/>
        <v>14296</v>
      </c>
      <c r="O197" t="str">
        <f t="shared" si="31"/>
        <v>Μήλου</v>
      </c>
    </row>
    <row r="198" spans="1:15" x14ac:dyDescent="0.3">
      <c r="A198">
        <v>197</v>
      </c>
      <c r="B198" t="s">
        <v>408</v>
      </c>
      <c r="C198" t="s">
        <v>384</v>
      </c>
      <c r="D198" t="s">
        <v>241</v>
      </c>
      <c r="E198" t="str">
        <f t="shared" si="24"/>
        <v xml:space="preserve">ΚΕΝΤΡΙΚΗΣ ΜΑΚΕΔΟΝΙΑΣ - ΚΑΤΕΡΙΝΗΣ, </v>
      </c>
      <c r="F198" t="s">
        <v>736</v>
      </c>
      <c r="G198">
        <v>14200</v>
      </c>
      <c r="H198" t="str">
        <f t="shared" si="25"/>
        <v>ΝΑΙ</v>
      </c>
      <c r="I198" t="str">
        <f>LOOKUP(B198,ΠΕΡΙΦΕΡΕΙΑ!$A$2:$A$14,ΠΕΡΙΦΕΡΕΙΑ!$B$2:$B$14)</f>
        <v>Μερική</v>
      </c>
      <c r="J198">
        <f t="shared" si="28"/>
        <v>197</v>
      </c>
      <c r="K198">
        <f t="shared" si="29"/>
        <v>260</v>
      </c>
      <c r="L198" t="str">
        <f t="shared" si="26"/>
        <v>ΝΟΤΙΟΥ ΑΙΓΑΙΟΥ</v>
      </c>
      <c r="M198" t="str">
        <f t="shared" si="27"/>
        <v>ΝΟΤΙΟΥ ΑΙΓΑΙΟΥ - ΜΥΚΟΝΟΥ</v>
      </c>
      <c r="N198">
        <f t="shared" si="30"/>
        <v>14306</v>
      </c>
      <c r="O198" t="str">
        <f t="shared" si="31"/>
        <v>Μυκόνου</v>
      </c>
    </row>
    <row r="199" spans="1:15" x14ac:dyDescent="0.3">
      <c r="A199">
        <v>198</v>
      </c>
      <c r="B199" t="s">
        <v>408</v>
      </c>
      <c r="C199" t="s">
        <v>234</v>
      </c>
      <c r="D199" t="s">
        <v>234</v>
      </c>
      <c r="E199" t="str">
        <f t="shared" si="24"/>
        <v xml:space="preserve">ΚΕΝΤΡΙΚΗΣ ΜΑΚΕΔΟΝΙΑΣ - ΚΙΛΚΙΣ, </v>
      </c>
      <c r="F199" t="s">
        <v>737</v>
      </c>
      <c r="G199">
        <v>14212</v>
      </c>
      <c r="H199" t="str">
        <f t="shared" si="25"/>
        <v>ΝΑΙ</v>
      </c>
      <c r="I199" t="str">
        <f>LOOKUP(B199,ΠΕΡΙΦΕΡΕΙΑ!$A$2:$A$14,ΠΕΡΙΦΕΡΕΙΑ!$B$2:$B$14)</f>
        <v>Μερική</v>
      </c>
      <c r="J199">
        <f t="shared" si="28"/>
        <v>198</v>
      </c>
      <c r="K199">
        <f t="shared" si="29"/>
        <v>261</v>
      </c>
      <c r="L199" t="str">
        <f t="shared" si="26"/>
        <v>ΝΟΤΙΟΥ ΑΙΓΑΙΟΥ</v>
      </c>
      <c r="M199" t="str">
        <f t="shared" si="27"/>
        <v>ΝΟΤΙΟΥ ΑΙΓΑΙΟΥ - ΝΑΞΟΥ ΚΑΙ ΜΙΚΡΩΝ ΚΥΚΛΑΔΩΝ</v>
      </c>
      <c r="N199">
        <f t="shared" si="30"/>
        <v>14310</v>
      </c>
      <c r="O199" t="str">
        <f t="shared" si="31"/>
        <v>Νάξου &amp; Μικρών Κυκλάδων</v>
      </c>
    </row>
    <row r="200" spans="1:15" x14ac:dyDescent="0.3">
      <c r="A200">
        <v>199</v>
      </c>
      <c r="B200" t="s">
        <v>408</v>
      </c>
      <c r="C200" t="s">
        <v>225</v>
      </c>
      <c r="D200" t="s">
        <v>227</v>
      </c>
      <c r="E200" t="str">
        <f t="shared" si="24"/>
        <v xml:space="preserve">ΚΕΝΤΡΙΚΗΣ ΜΑΚΕΔΟΝΙΑΣ - ΚΟΡΔΕΛΙΟΥ – ΕΥΟΣΜΟΥ, </v>
      </c>
      <c r="F200" t="s">
        <v>738</v>
      </c>
      <c r="G200">
        <v>14224</v>
      </c>
      <c r="H200" t="str">
        <f t="shared" si="25"/>
        <v>ΝΑΙ</v>
      </c>
      <c r="I200" t="str">
        <f>LOOKUP(B200,ΠΕΡΙΦΕΡΕΙΑ!$A$2:$A$14,ΠΕΡΙΦΕΡΕΙΑ!$B$2:$B$14)</f>
        <v>Μερική</v>
      </c>
      <c r="J200">
        <f t="shared" si="28"/>
        <v>199</v>
      </c>
      <c r="K200">
        <f t="shared" si="29"/>
        <v>263</v>
      </c>
      <c r="L200" t="str">
        <f t="shared" si="26"/>
        <v>ΝΟΤΙΟΥ ΑΙΓΑΙΟΥ</v>
      </c>
      <c r="M200" t="str">
        <f t="shared" si="27"/>
        <v>ΝΟΤΙΟΥ ΑΙΓΑΙΟΥ - ΠΑΡΟΥ</v>
      </c>
      <c r="N200">
        <f t="shared" si="30"/>
        <v>14400</v>
      </c>
      <c r="O200" t="str">
        <f t="shared" si="31"/>
        <v>Πάρου</v>
      </c>
    </row>
    <row r="201" spans="1:15" x14ac:dyDescent="0.3">
      <c r="A201">
        <v>200</v>
      </c>
      <c r="B201" t="s">
        <v>408</v>
      </c>
      <c r="C201" t="s">
        <v>225</v>
      </c>
      <c r="D201" t="s">
        <v>228</v>
      </c>
      <c r="E201" t="str">
        <f t="shared" si="24"/>
        <v xml:space="preserve">ΚΕΝΤΡΙΚΗΣ ΜΑΚΕΔΟΝΙΑΣ - ΛΑΓΚΑΔΑ, </v>
      </c>
      <c r="F201" t="s">
        <v>739</v>
      </c>
      <c r="G201">
        <v>14172</v>
      </c>
      <c r="H201" t="str">
        <f t="shared" si="25"/>
        <v>ΝΑΙ</v>
      </c>
      <c r="I201" t="str">
        <f>LOOKUP(B201,ΠΕΡΙΦΕΡΕΙΑ!$A$2:$A$14,ΠΕΡΙΦΕΡΕΙΑ!$B$2:$B$14)</f>
        <v>Μερική</v>
      </c>
      <c r="J201">
        <f t="shared" si="28"/>
        <v>200</v>
      </c>
      <c r="K201">
        <f t="shared" si="29"/>
        <v>265</v>
      </c>
      <c r="L201" t="str">
        <f t="shared" si="26"/>
        <v>ΝΟΤΙΟΥ ΑΙΓΑΙΟΥ</v>
      </c>
      <c r="M201" t="str">
        <f t="shared" si="27"/>
        <v>ΝΟΤΙΟΥ ΑΙΓΑΙΟΥ - ΡΟΔΟΥ</v>
      </c>
      <c r="N201">
        <f t="shared" si="30"/>
        <v>14436</v>
      </c>
      <c r="O201" t="str">
        <f t="shared" si="31"/>
        <v>Ρόδου</v>
      </c>
    </row>
    <row r="202" spans="1:15" x14ac:dyDescent="0.3">
      <c r="A202">
        <v>201</v>
      </c>
      <c r="B202" t="s">
        <v>408</v>
      </c>
      <c r="C202" t="s">
        <v>383</v>
      </c>
      <c r="D202" t="s">
        <v>219</v>
      </c>
      <c r="E202" t="str">
        <f t="shared" si="24"/>
        <v xml:space="preserve">ΚΕΝΤΡΙΚΗΣ ΜΑΚΕΔΟΝΙΑΣ - ΝΑΟΥΣΑΣ, </v>
      </c>
      <c r="F202" t="s">
        <v>740</v>
      </c>
      <c r="G202">
        <v>14272</v>
      </c>
      <c r="H202" t="str">
        <f t="shared" si="25"/>
        <v>ΝΑΙ</v>
      </c>
      <c r="I202" t="str">
        <f>LOOKUP(B202,ΠΕΡΙΦΕΡΕΙΑ!$A$2:$A$14,ΠΕΡΙΦΕΡΕΙΑ!$B$2:$B$14)</f>
        <v>Μερική</v>
      </c>
      <c r="J202">
        <f t="shared" si="28"/>
        <v>201</v>
      </c>
      <c r="K202">
        <f t="shared" si="29"/>
        <v>270</v>
      </c>
      <c r="L202" t="str">
        <f t="shared" si="26"/>
        <v>ΝΟΤΙΟΥ ΑΙΓΑΙΟΥ</v>
      </c>
      <c r="M202" t="str">
        <f t="shared" si="27"/>
        <v>ΝΟΤΙΟΥ ΑΙΓΑΙΟΥ - ΣΥΡΟΥ – ΕΡΜΟΥΠΟΛΗΣ</v>
      </c>
      <c r="N202">
        <f t="shared" si="30"/>
        <v>14488</v>
      </c>
      <c r="O202" t="str">
        <f t="shared" si="31"/>
        <v>Σύρου - Ερμούπολης</v>
      </c>
    </row>
    <row r="203" spans="1:15" x14ac:dyDescent="0.3">
      <c r="A203">
        <v>202</v>
      </c>
      <c r="B203" t="s">
        <v>408</v>
      </c>
      <c r="C203" t="s">
        <v>225</v>
      </c>
      <c r="D203" t="s">
        <v>229</v>
      </c>
      <c r="E203" t="str">
        <f t="shared" si="24"/>
        <v xml:space="preserve">ΚΕΝΤΡΙΚΗΣ ΜΑΚΕΔΟΝΙΑΣ - ΝΕΑΠΟΛΗΣ – ΣΥΚΕΩΝ, </v>
      </c>
      <c r="F203" t="s">
        <v>741</v>
      </c>
      <c r="G203">
        <v>14332</v>
      </c>
      <c r="H203" t="str">
        <f t="shared" si="25"/>
        <v>ΝΑΙ</v>
      </c>
      <c r="I203" t="str">
        <f>LOOKUP(B203,ΠΕΡΙΦΕΡΕΙΑ!$A$2:$A$14,ΠΕΡΙΦΕΡΕΙΑ!$B$2:$B$14)</f>
        <v>Μερική</v>
      </c>
      <c r="J203">
        <f t="shared" si="28"/>
        <v>202</v>
      </c>
      <c r="K203">
        <f t="shared" si="29"/>
        <v>272</v>
      </c>
      <c r="L203" t="str">
        <f t="shared" si="26"/>
        <v>ΝΟΤΙΟΥ ΑΙΓΑΙΟΥ</v>
      </c>
      <c r="M203" t="str">
        <f t="shared" si="27"/>
        <v>ΝΟΤΙΟΥ ΑΙΓΑΙΟΥ - ΤΗΝΟΥ</v>
      </c>
      <c r="N203">
        <f t="shared" si="30"/>
        <v>14498</v>
      </c>
      <c r="O203" t="str">
        <f t="shared" si="31"/>
        <v>Τήνου</v>
      </c>
    </row>
    <row r="204" spans="1:15" x14ac:dyDescent="0.3">
      <c r="A204">
        <v>203</v>
      </c>
      <c r="B204" t="s">
        <v>408</v>
      </c>
      <c r="C204" t="s">
        <v>248</v>
      </c>
      <c r="D204" t="s">
        <v>247</v>
      </c>
      <c r="E204" t="str">
        <f t="shared" si="24"/>
        <v xml:space="preserve">ΚΕΝΤΡΙΚΗΣ ΜΑΚΕΔΟΝΙΑΣ - ΝΕΑΣ ΖΙΧΝΗΣ, </v>
      </c>
      <c r="F204" t="s">
        <v>742</v>
      </c>
      <c r="G204">
        <v>14334</v>
      </c>
      <c r="H204" t="str">
        <f t="shared" si="25"/>
        <v/>
      </c>
      <c r="I204" t="str">
        <f>LOOKUP(B204,ΠΕΡΙΦΕΡΕΙΑ!$A$2:$A$14,ΠΕΡΙΦΕΡΕΙΑ!$B$2:$B$14)</f>
        <v>Μερική</v>
      </c>
      <c r="J204" t="str">
        <f t="shared" si="28"/>
        <v/>
      </c>
      <c r="K204">
        <f t="shared" si="29"/>
        <v>276</v>
      </c>
      <c r="L204" t="str">
        <f t="shared" si="26"/>
        <v>ΠΕΛΟΠΟΝΝΗΣΟΥ</v>
      </c>
      <c r="M204" t="str">
        <f t="shared" si="27"/>
        <v>ΠΕΛΟΠΟΝΝΗΣΟΥ - ΑΡΓΟΥΣ – ΜΥΚΗΝΩΝ</v>
      </c>
      <c r="N204">
        <f t="shared" si="30"/>
        <v>13994</v>
      </c>
      <c r="O204" t="str">
        <f t="shared" si="31"/>
        <v>Άργους - Μυκηνών</v>
      </c>
    </row>
    <row r="205" spans="1:15" x14ac:dyDescent="0.3">
      <c r="A205">
        <v>204</v>
      </c>
      <c r="B205" t="s">
        <v>408</v>
      </c>
      <c r="C205" t="s">
        <v>385</v>
      </c>
      <c r="D205" t="s">
        <v>252</v>
      </c>
      <c r="E205" t="str">
        <f t="shared" si="24"/>
        <v xml:space="preserve">ΚΕΝΤΡΙΚΗΣ ΜΑΚΕΔΟΝΙΑΣ - ΝΕΑΣ ΠΡΟΠΟΝΤΙΔΑΣ, </v>
      </c>
      <c r="F205" t="s">
        <v>743</v>
      </c>
      <c r="G205">
        <v>14318</v>
      </c>
      <c r="H205" t="str">
        <f t="shared" si="25"/>
        <v>ΝΑΙ</v>
      </c>
      <c r="I205" t="str">
        <f>LOOKUP(B205,ΠΕΡΙΦΕΡΕΙΑ!$A$2:$A$14,ΠΕΡΙΦΕΡΕΙΑ!$B$2:$B$14)</f>
        <v>Μερική</v>
      </c>
      <c r="J205">
        <f t="shared" si="28"/>
        <v>204</v>
      </c>
      <c r="K205">
        <f t="shared" si="29"/>
        <v>277</v>
      </c>
      <c r="L205" t="str">
        <f t="shared" si="26"/>
        <v>ΠΕΛΟΠΟΝΝΗΣΟΥ</v>
      </c>
      <c r="M205" t="str">
        <f t="shared" si="27"/>
        <v>ΠΕΛΟΠΟΝΝΗΣΟΥ - ΒΕΛΟΥ – ΒΟΧΑΣ</v>
      </c>
      <c r="N205">
        <f t="shared" si="30"/>
        <v>14012</v>
      </c>
      <c r="O205" t="str">
        <f t="shared" si="31"/>
        <v>Βέλου - Βόχας</v>
      </c>
    </row>
    <row r="206" spans="1:15" x14ac:dyDescent="0.3">
      <c r="A206">
        <v>205</v>
      </c>
      <c r="B206" t="s">
        <v>408</v>
      </c>
      <c r="C206" t="s">
        <v>234</v>
      </c>
      <c r="D206" t="s">
        <v>235</v>
      </c>
      <c r="E206" t="str">
        <f t="shared" si="24"/>
        <v xml:space="preserve">ΚΕΝΤΡΙΚΗΣ ΜΑΚΕΔΟΝΙΑΣ - ΠΑΙΟΝΙΑΣ, </v>
      </c>
      <c r="F206" t="s">
        <v>744</v>
      </c>
      <c r="G206">
        <v>14384</v>
      </c>
      <c r="H206" t="str">
        <f t="shared" si="25"/>
        <v/>
      </c>
      <c r="I206" t="str">
        <f>LOOKUP(B206,ΠΕΡΙΦΕΡΕΙΑ!$A$2:$A$14,ΠΕΡΙΦΕΡΕΙΑ!$B$2:$B$14)</f>
        <v>Μερική</v>
      </c>
      <c r="J206" t="str">
        <f t="shared" si="28"/>
        <v/>
      </c>
      <c r="K206">
        <f t="shared" si="29"/>
        <v>278</v>
      </c>
      <c r="L206" t="str">
        <f t="shared" si="26"/>
        <v>ΠΕΛΟΠΟΝΝΗΣΟΥ</v>
      </c>
      <c r="M206" t="str">
        <f t="shared" si="27"/>
        <v>ΠΕΛΟΠΟΝΝΗΣΟΥ - ΒΟΡΕΙΑΣ ΚΥΝΟΥΡΙΑΣ</v>
      </c>
      <c r="N206">
        <f t="shared" si="30"/>
        <v>14020</v>
      </c>
      <c r="O206" t="str">
        <f t="shared" si="31"/>
        <v>Βόρειας Κυνουρίας</v>
      </c>
    </row>
    <row r="207" spans="1:15" x14ac:dyDescent="0.3">
      <c r="A207">
        <v>206</v>
      </c>
      <c r="B207" t="s">
        <v>408</v>
      </c>
      <c r="C207" t="s">
        <v>225</v>
      </c>
      <c r="D207" t="s">
        <v>230</v>
      </c>
      <c r="E207" t="str">
        <f t="shared" si="24"/>
        <v xml:space="preserve">ΚΕΝΤΡΙΚΗΣ ΜΑΚΕΔΟΝΙΑΣ - ΠΑΥΛΟΥ ΜΕΛΑ, </v>
      </c>
      <c r="F207" t="s">
        <v>745</v>
      </c>
      <c r="G207">
        <v>14368</v>
      </c>
      <c r="H207" t="str">
        <f t="shared" si="25"/>
        <v>ΝΑΙ</v>
      </c>
      <c r="I207" t="str">
        <f>LOOKUP(B207,ΠΕΡΙΦΕΡΕΙΑ!$A$2:$A$14,ΠΕΡΙΦΕΡΕΙΑ!$B$2:$B$14)</f>
        <v>Μερική</v>
      </c>
      <c r="J207">
        <f t="shared" si="28"/>
        <v>206</v>
      </c>
      <c r="K207">
        <f t="shared" si="29"/>
        <v>280</v>
      </c>
      <c r="L207" t="str">
        <f t="shared" si="26"/>
        <v>ΠΕΛΟΠΟΝΝΗΣΟΥ</v>
      </c>
      <c r="M207" t="str">
        <f t="shared" si="27"/>
        <v>ΠΕΛΟΠΟΝΝΗΣΟΥ - ΔΥΤΙΚΗΣ ΜΑΝΗΣ</v>
      </c>
      <c r="N207">
        <f t="shared" si="30"/>
        <v>14074</v>
      </c>
      <c r="O207" t="str">
        <f t="shared" si="31"/>
        <v>Δυτικής Μάνης</v>
      </c>
    </row>
    <row r="208" spans="1:15" x14ac:dyDescent="0.3">
      <c r="A208">
        <v>207</v>
      </c>
      <c r="B208" t="s">
        <v>408</v>
      </c>
      <c r="C208" t="s">
        <v>238</v>
      </c>
      <c r="D208" t="s">
        <v>238</v>
      </c>
      <c r="E208" t="str">
        <f t="shared" si="24"/>
        <v xml:space="preserve">ΚΕΝΤΡΙΚΗΣ ΜΑΚΕΔΟΝΙΑΣ - ΠΕΛΛΑΣ, </v>
      </c>
      <c r="F208" t="s">
        <v>746</v>
      </c>
      <c r="G208">
        <v>14382</v>
      </c>
      <c r="H208" t="str">
        <f t="shared" si="25"/>
        <v>ΝΑΙ</v>
      </c>
      <c r="I208" t="str">
        <f>LOOKUP(B208,ΠΕΡΙΦΕΡΕΙΑ!$A$2:$A$14,ΠΕΡΙΦΕΡΕΙΑ!$B$2:$B$14)</f>
        <v>Μερική</v>
      </c>
      <c r="J208">
        <f t="shared" si="28"/>
        <v>207</v>
      </c>
      <c r="K208">
        <f t="shared" si="29"/>
        <v>283</v>
      </c>
      <c r="L208" t="str">
        <f t="shared" si="26"/>
        <v>ΠΕΛΟΠΟΝΝΗΣΟΥ</v>
      </c>
      <c r="M208" t="str">
        <f t="shared" si="27"/>
        <v>ΠΕΛΟΠΟΝΝΗΣΟΥ - ΕΡΜΙΟΝΙΔΑΣ</v>
      </c>
      <c r="N208">
        <f t="shared" si="30"/>
        <v>14096</v>
      </c>
      <c r="O208" t="str">
        <f t="shared" si="31"/>
        <v>Ερμιονίδας</v>
      </c>
    </row>
    <row r="209" spans="1:15" x14ac:dyDescent="0.3">
      <c r="A209">
        <v>208</v>
      </c>
      <c r="B209" t="s">
        <v>408</v>
      </c>
      <c r="C209" t="s">
        <v>385</v>
      </c>
      <c r="D209" t="s">
        <v>253</v>
      </c>
      <c r="E209" t="str">
        <f t="shared" si="24"/>
        <v xml:space="preserve">ΚΕΝΤΡΙΚΗΣ ΜΑΚΕΔΟΝΙΑΣ - ΠΟΛΥΓΥΡΟΥ, </v>
      </c>
      <c r="F209" t="s">
        <v>747</v>
      </c>
      <c r="G209">
        <v>14414</v>
      </c>
      <c r="H209" t="str">
        <f t="shared" si="25"/>
        <v>ΝΑΙ</v>
      </c>
      <c r="I209" t="str">
        <f>LOOKUP(B209,ΠΕΡΙΦΕΡΕΙΑ!$A$2:$A$14,ΠΕΡΙΦΕΡΕΙΑ!$B$2:$B$14)</f>
        <v>Μερική</v>
      </c>
      <c r="J209">
        <f t="shared" si="28"/>
        <v>208</v>
      </c>
      <c r="K209">
        <f t="shared" si="29"/>
        <v>284</v>
      </c>
      <c r="L209" t="str">
        <f t="shared" si="26"/>
        <v>ΠΕΛΟΠΟΝΝΗΣΟΥ</v>
      </c>
      <c r="M209" t="str">
        <f t="shared" si="27"/>
        <v>ΠΕΛΟΠΟΝΝΗΣΟΥ - ΕΥΡΩΤΑ</v>
      </c>
      <c r="N209">
        <f t="shared" si="30"/>
        <v>14100</v>
      </c>
      <c r="O209" t="str">
        <f t="shared" si="31"/>
        <v>Ευρώτα</v>
      </c>
    </row>
    <row r="210" spans="1:15" x14ac:dyDescent="0.3">
      <c r="A210">
        <v>209</v>
      </c>
      <c r="B210" t="s">
        <v>408</v>
      </c>
      <c r="C210" t="s">
        <v>384</v>
      </c>
      <c r="D210" t="s">
        <v>242</v>
      </c>
      <c r="E210" t="str">
        <f t="shared" si="24"/>
        <v xml:space="preserve">ΚΕΝΤΡΙΚΗΣ ΜΑΚΕΔΟΝΙΑΣ - ΠΥΔΝΑΣ – ΚΟΛΙΝΔΡΟΥ, </v>
      </c>
      <c r="F210" t="s">
        <v>748</v>
      </c>
      <c r="G210">
        <v>14422</v>
      </c>
      <c r="H210" t="str">
        <f t="shared" si="25"/>
        <v>ΝΑΙ</v>
      </c>
      <c r="I210" t="str">
        <f>LOOKUP(B210,ΠΕΡΙΦΕΡΕΙΑ!$A$2:$A$14,ΠΕΡΙΦΕΡΕΙΑ!$B$2:$B$14)</f>
        <v>Μερική</v>
      </c>
      <c r="J210">
        <f t="shared" si="28"/>
        <v>209</v>
      </c>
      <c r="K210">
        <f t="shared" si="29"/>
        <v>285</v>
      </c>
      <c r="L210" t="str">
        <f t="shared" si="26"/>
        <v>ΠΕΛΟΠΟΝΝΗΣΟΥ</v>
      </c>
      <c r="M210" t="str">
        <f t="shared" si="27"/>
        <v>ΠΕΛΟΠΟΝΝΗΣΟΥ - ΚΑΛΑΜΑΤΑΣ</v>
      </c>
      <c r="N210">
        <f t="shared" si="30"/>
        <v>14178</v>
      </c>
      <c r="O210" t="str">
        <f t="shared" si="31"/>
        <v>Καλαμάτας</v>
      </c>
    </row>
    <row r="211" spans="1:15" x14ac:dyDescent="0.3">
      <c r="A211">
        <v>210</v>
      </c>
      <c r="B211" t="s">
        <v>408</v>
      </c>
      <c r="C211" t="s">
        <v>225</v>
      </c>
      <c r="D211" t="s">
        <v>231</v>
      </c>
      <c r="E211" t="str">
        <f t="shared" si="24"/>
        <v xml:space="preserve">ΚΕΝΤΡΙΚΗΣ ΜΑΚΕΔΟΝΙΑΣ - ΠΥΛΑΙΑΣ – ΧΟΡΤΙΑΤΗ, </v>
      </c>
      <c r="F211" t="s">
        <v>749</v>
      </c>
      <c r="G211">
        <v>14424</v>
      </c>
      <c r="H211" t="str">
        <f t="shared" si="25"/>
        <v>ΝΑΙ</v>
      </c>
      <c r="I211" t="str">
        <f>LOOKUP(B211,ΠΕΡΙΦΕΡΕΙΑ!$A$2:$A$14,ΠΕΡΙΦΕΡΕΙΑ!$B$2:$B$14)</f>
        <v>Μερική</v>
      </c>
      <c r="J211">
        <f t="shared" si="28"/>
        <v>210</v>
      </c>
      <c r="K211">
        <f t="shared" si="29"/>
        <v>286</v>
      </c>
      <c r="L211" t="str">
        <f t="shared" si="26"/>
        <v>ΠΕΛΟΠΟΝΝΗΣΟΥ</v>
      </c>
      <c r="M211" t="str">
        <f t="shared" si="27"/>
        <v>ΠΕΛΟΠΟΝΝΗΣΟΥ - ΚΟΡΙΝΘΙΩΝ</v>
      </c>
      <c r="N211">
        <f t="shared" si="30"/>
        <v>14168</v>
      </c>
      <c r="O211" t="str">
        <f t="shared" si="31"/>
        <v>Κορινθίων</v>
      </c>
    </row>
    <row r="212" spans="1:15" x14ac:dyDescent="0.3">
      <c r="A212">
        <v>211</v>
      </c>
      <c r="B212" t="s">
        <v>408</v>
      </c>
      <c r="C212" t="s">
        <v>248</v>
      </c>
      <c r="D212" t="s">
        <v>248</v>
      </c>
      <c r="E212" t="str">
        <f t="shared" si="24"/>
        <v xml:space="preserve">ΚΕΝΤΡΙΚΗΣ ΜΑΚΕΔΟΝΙΑΣ - ΣΕΡΡΩΝ, </v>
      </c>
      <c r="F212" t="s">
        <v>750</v>
      </c>
      <c r="G212">
        <v>14454</v>
      </c>
      <c r="H212" t="str">
        <f t="shared" si="25"/>
        <v>ΝΑΙ</v>
      </c>
      <c r="I212" t="str">
        <f>LOOKUP(B212,ΠΕΡΙΦΕΡΕΙΑ!$A$2:$A$14,ΠΕΡΙΦΕΡΕΙΑ!$B$2:$B$14)</f>
        <v>Μερική</v>
      </c>
      <c r="J212">
        <f t="shared" si="28"/>
        <v>211</v>
      </c>
      <c r="K212">
        <f t="shared" si="29"/>
        <v>287</v>
      </c>
      <c r="L212" t="str">
        <f t="shared" si="26"/>
        <v>ΠΕΛΟΠΟΝΝΗΣΟΥ</v>
      </c>
      <c r="M212" t="str">
        <f t="shared" si="27"/>
        <v>ΠΕΛΟΠΟΝΝΗΣΟΥ - ΛΟΥΤΡΑΚΙΟΥ – ΑΓΙΩΝ ΘΕΟΔΩΡΩΝ</v>
      </c>
      <c r="N212">
        <f t="shared" si="30"/>
        <v>14244</v>
      </c>
      <c r="O212" t="str">
        <f t="shared" si="31"/>
        <v>Λουτρακίου - Αγ. Θεοδώρων</v>
      </c>
    </row>
    <row r="213" spans="1:15" x14ac:dyDescent="0.3">
      <c r="A213">
        <v>212</v>
      </c>
      <c r="B213" t="s">
        <v>408</v>
      </c>
      <c r="C213" t="s">
        <v>385</v>
      </c>
      <c r="D213" t="s">
        <v>254</v>
      </c>
      <c r="E213" t="str">
        <f t="shared" si="24"/>
        <v xml:space="preserve">ΚΕΝΤΡΙΚΗΣ ΜΑΚΕΔΟΝΙΑΣ - ΣΙΘΩΝΙΑΣ, </v>
      </c>
      <c r="F213" t="s">
        <v>751</v>
      </c>
      <c r="G213">
        <v>14456</v>
      </c>
      <c r="H213" t="str">
        <f t="shared" si="25"/>
        <v>ΝΑΙ</v>
      </c>
      <c r="I213" t="str">
        <f>LOOKUP(B213,ΠΕΡΙΦΕΡΕΙΑ!$A$2:$A$14,ΠΕΡΙΦΕΡΕΙΑ!$B$2:$B$14)</f>
        <v>Μερική</v>
      </c>
      <c r="J213">
        <f t="shared" si="28"/>
        <v>212</v>
      </c>
      <c r="K213">
        <f t="shared" si="29"/>
        <v>288</v>
      </c>
      <c r="L213" t="str">
        <f t="shared" si="26"/>
        <v>ΠΕΛΟΠΟΝΝΗΣΟΥ</v>
      </c>
      <c r="M213" t="str">
        <f t="shared" si="27"/>
        <v>ΠΕΛΟΠΟΝΝΗΣΟΥ - ΜΕΓΑΛΟΠΟΛΗΣ</v>
      </c>
      <c r="N213">
        <f t="shared" si="30"/>
        <v>14282</v>
      </c>
      <c r="O213" t="str">
        <f t="shared" si="31"/>
        <v>Μεγαλόπολης</v>
      </c>
    </row>
    <row r="214" spans="1:15" x14ac:dyDescent="0.3">
      <c r="A214">
        <v>213</v>
      </c>
      <c r="B214" t="s">
        <v>408</v>
      </c>
      <c r="C214" t="s">
        <v>248</v>
      </c>
      <c r="D214" t="s">
        <v>249</v>
      </c>
      <c r="E214" t="str">
        <f t="shared" si="24"/>
        <v xml:space="preserve">ΚΕΝΤΡΙΚΗΣ ΜΑΚΕΔΟΝΙΑΣ - ΣΙΝΤΙΚΗΣ, </v>
      </c>
      <c r="F214" t="s">
        <v>752</v>
      </c>
      <c r="G214">
        <v>14462</v>
      </c>
      <c r="H214" t="str">
        <f t="shared" si="25"/>
        <v/>
      </c>
      <c r="I214" t="str">
        <f>LOOKUP(B214,ΠΕΡΙΦΕΡΕΙΑ!$A$2:$A$14,ΠΕΡΙΦΕΡΕΙΑ!$B$2:$B$14)</f>
        <v>Μερική</v>
      </c>
      <c r="J214" t="str">
        <f t="shared" si="28"/>
        <v/>
      </c>
      <c r="K214">
        <f t="shared" si="29"/>
        <v>289</v>
      </c>
      <c r="L214" t="str">
        <f t="shared" si="26"/>
        <v>ΠΕΛΟΠΟΝΝΗΣΟΥ</v>
      </c>
      <c r="M214" t="str">
        <f t="shared" si="27"/>
        <v>ΠΕΛΟΠΟΝΝΗΣΟΥ - ΜΕΣΣΗΝΗΣ</v>
      </c>
      <c r="N214">
        <f t="shared" si="30"/>
        <v>14292</v>
      </c>
      <c r="O214" t="str">
        <f t="shared" si="31"/>
        <v>Μεσσήνης</v>
      </c>
    </row>
    <row r="215" spans="1:15" x14ac:dyDescent="0.3">
      <c r="A215">
        <v>214</v>
      </c>
      <c r="B215" t="s">
        <v>408</v>
      </c>
      <c r="C215" t="s">
        <v>238</v>
      </c>
      <c r="D215" t="s">
        <v>239</v>
      </c>
      <c r="E215" t="str">
        <f t="shared" si="24"/>
        <v xml:space="preserve">ΚΕΝΤΡΙΚΗΣ ΜΑΚΕΔΟΝΙΑΣ - ΣΚΥΔΡΑΣ, </v>
      </c>
      <c r="F215" t="s">
        <v>753</v>
      </c>
      <c r="G215">
        <v>14472</v>
      </c>
      <c r="H215" t="str">
        <f t="shared" si="25"/>
        <v>ΝΑΙ</v>
      </c>
      <c r="I215" t="str">
        <f>LOOKUP(B215,ΠΕΡΙΦΕΡΕΙΑ!$A$2:$A$14,ΠΕΡΙΦΕΡΕΙΑ!$B$2:$B$14)</f>
        <v>Μερική</v>
      </c>
      <c r="J215">
        <f t="shared" si="28"/>
        <v>214</v>
      </c>
      <c r="K215">
        <f t="shared" si="29"/>
        <v>290</v>
      </c>
      <c r="L215" t="str">
        <f t="shared" si="26"/>
        <v>ΠΕΛΟΠΟΝΝΗΣΟΥ</v>
      </c>
      <c r="M215" t="str">
        <f t="shared" si="27"/>
        <v>ΠΕΛΟΠΟΝΝΗΣΟΥ - ΜΟΝΕΜΒΑΣΙΑΣ</v>
      </c>
      <c r="N215">
        <f t="shared" si="30"/>
        <v>14268</v>
      </c>
      <c r="O215" t="str">
        <f t="shared" si="31"/>
        <v>Μονεμβασιάς</v>
      </c>
    </row>
    <row r="216" spans="1:15" x14ac:dyDescent="0.3">
      <c r="A216">
        <v>215</v>
      </c>
      <c r="B216" t="s">
        <v>408</v>
      </c>
      <c r="C216" t="s">
        <v>225</v>
      </c>
      <c r="D216" t="s">
        <v>232</v>
      </c>
      <c r="E216" t="str">
        <f t="shared" si="24"/>
        <v xml:space="preserve">ΚΕΝΤΡΙΚΗΣ ΜΑΚΕΔΟΝΙΑΣ - ΧΑΛΚΗΔΟΝΟΣ, </v>
      </c>
      <c r="F216" t="s">
        <v>754</v>
      </c>
      <c r="G216">
        <v>14544</v>
      </c>
      <c r="H216" t="str">
        <f t="shared" si="25"/>
        <v>ΝΑΙ</v>
      </c>
      <c r="I216" t="str">
        <f>LOOKUP(B216,ΠΕΡΙΦΕΡΕΙΑ!$A$2:$A$14,ΠΕΡΙΦΕΡΕΙΑ!$B$2:$B$14)</f>
        <v>Μερική</v>
      </c>
      <c r="J216">
        <f t="shared" si="28"/>
        <v>215</v>
      </c>
      <c r="K216">
        <f t="shared" si="29"/>
        <v>291</v>
      </c>
      <c r="L216" t="str">
        <f t="shared" si="26"/>
        <v>ΠΕΛΟΠΟΝΝΗΣΟΥ</v>
      </c>
      <c r="M216" t="str">
        <f t="shared" si="27"/>
        <v>ΠΕΛΟΠΟΝΝΗΣΟΥ - ΝΑΥΠΛΙΕΩΝ</v>
      </c>
      <c r="N216">
        <f t="shared" si="30"/>
        <v>14314</v>
      </c>
      <c r="O216" t="str">
        <f t="shared" si="31"/>
        <v>Ναυπλιέων</v>
      </c>
    </row>
    <row r="217" spans="1:15" x14ac:dyDescent="0.3">
      <c r="A217">
        <v>216</v>
      </c>
      <c r="B217" t="s">
        <v>408</v>
      </c>
      <c r="C217" t="s">
        <v>225</v>
      </c>
      <c r="D217" t="s">
        <v>233</v>
      </c>
      <c r="E217" t="str">
        <f t="shared" si="24"/>
        <v xml:space="preserve">ΚΕΝΤΡΙΚΗΣ ΜΑΚΕΔΟΝΙΑΣ - ΩΡΑΙΟΚΑΣΤΡΟΥ, </v>
      </c>
      <c r="F217" t="s">
        <v>755</v>
      </c>
      <c r="G217">
        <v>14534</v>
      </c>
      <c r="H217" t="str">
        <f t="shared" si="25"/>
        <v>ΝΑΙ</v>
      </c>
      <c r="I217" t="str">
        <f>LOOKUP(B217,ΠΕΡΙΦΕΡΕΙΑ!$A$2:$A$14,ΠΕΡΙΦΕΡΕΙΑ!$B$2:$B$14)</f>
        <v>Μερική</v>
      </c>
      <c r="J217">
        <f t="shared" si="28"/>
        <v>216</v>
      </c>
      <c r="K217">
        <f t="shared" si="29"/>
        <v>292</v>
      </c>
      <c r="L217" t="str">
        <f t="shared" si="26"/>
        <v>ΠΕΛΟΠΟΝΝΗΣΟΥ</v>
      </c>
      <c r="M217" t="str">
        <f t="shared" si="27"/>
        <v>ΠΕΛΟΠΟΝΝΗΣΟΥ - ΝΕΜΕΑΣ</v>
      </c>
      <c r="N217">
        <f t="shared" si="30"/>
        <v>14322</v>
      </c>
      <c r="O217" t="str">
        <f t="shared" si="31"/>
        <v>Νεμέας</v>
      </c>
    </row>
    <row r="218" spans="1:15" x14ac:dyDescent="0.3">
      <c r="A218">
        <v>217</v>
      </c>
      <c r="B218" t="s">
        <v>409</v>
      </c>
      <c r="C218" t="s">
        <v>387</v>
      </c>
      <c r="D218" t="s">
        <v>266</v>
      </c>
      <c r="E218" t="str">
        <f t="shared" si="24"/>
        <v xml:space="preserve">ΚΡΗΤΗΣ - ΑΓΙΟΥ ΒΑΣΙΛΕΙΟΥ, </v>
      </c>
      <c r="F218" t="s">
        <v>756</v>
      </c>
      <c r="G218">
        <v>14554</v>
      </c>
      <c r="H218" t="str">
        <f t="shared" si="25"/>
        <v/>
      </c>
      <c r="I218" t="str">
        <f>LOOKUP(B218,ΠΕΡΙΦΕΡΕΙΑ!$A$2:$A$14,ΠΕΡΙΦΕΡΕΙΑ!$B$2:$B$14)</f>
        <v>Μερική</v>
      </c>
      <c r="J218" t="str">
        <f t="shared" si="28"/>
        <v/>
      </c>
      <c r="K218">
        <f t="shared" si="29"/>
        <v>294</v>
      </c>
      <c r="L218" t="str">
        <f t="shared" si="26"/>
        <v>ΠΕΛΟΠΟΝΝΗΣΟΥ</v>
      </c>
      <c r="M218" t="str">
        <f t="shared" si="27"/>
        <v>ΠΕΛΟΠΟΝΝΗΣΟΥ - ΞΥΛΟΚΑΣΤΡΟΥ – ΕΥΡΩΣΤΙΝΗΣ</v>
      </c>
      <c r="N218">
        <f t="shared" si="30"/>
        <v>14346</v>
      </c>
      <c r="O218" t="str">
        <f t="shared" si="31"/>
        <v>Ξυλοκάστρου - Ευρωστίνης</v>
      </c>
    </row>
    <row r="219" spans="1:15" x14ac:dyDescent="0.3">
      <c r="A219">
        <v>218</v>
      </c>
      <c r="B219" t="s">
        <v>409</v>
      </c>
      <c r="C219" t="s">
        <v>386</v>
      </c>
      <c r="D219" t="s">
        <v>262</v>
      </c>
      <c r="E219" t="str">
        <f t="shared" si="24"/>
        <v xml:space="preserve">ΚΡΗΤΗΣ - ΑΓΙΟΥ ΝΙΚΟΛΑΟΥ, </v>
      </c>
      <c r="F219" t="s">
        <v>757</v>
      </c>
      <c r="G219">
        <v>13930</v>
      </c>
      <c r="H219" t="str">
        <f t="shared" si="25"/>
        <v>ΝΑΙ</v>
      </c>
      <c r="I219" t="str">
        <f>LOOKUP(B219,ΠΕΡΙΦΕΡΕΙΑ!$A$2:$A$14,ΠΕΡΙΦΕΡΕΙΑ!$B$2:$B$14)</f>
        <v>Μερική</v>
      </c>
      <c r="J219">
        <f t="shared" si="28"/>
        <v>218</v>
      </c>
      <c r="K219">
        <f t="shared" si="29"/>
        <v>296</v>
      </c>
      <c r="L219" t="str">
        <f t="shared" si="26"/>
        <v>ΠΕΛΟΠΟΝΝΗΣΟΥ</v>
      </c>
      <c r="M219" t="str">
        <f t="shared" si="27"/>
        <v>ΠΕΛΟΠΟΝΝΗΣΟΥ - ΠΥΛΟΥ – ΝΕΣΤΟΡΟΣ</v>
      </c>
      <c r="N219">
        <f t="shared" si="30"/>
        <v>14426</v>
      </c>
      <c r="O219" t="str">
        <f t="shared" si="31"/>
        <v>Πύλου - Νέστορος</v>
      </c>
    </row>
    <row r="220" spans="1:15" x14ac:dyDescent="0.3">
      <c r="A220">
        <v>219</v>
      </c>
      <c r="B220" t="s">
        <v>409</v>
      </c>
      <c r="C220" t="s">
        <v>387</v>
      </c>
      <c r="D220" t="s">
        <v>267</v>
      </c>
      <c r="E220" t="str">
        <f t="shared" si="24"/>
        <v xml:space="preserve">ΚΡΗΤΗΣ - ΑΜΑΡΙΟΥ, </v>
      </c>
      <c r="F220" t="s">
        <v>758</v>
      </c>
      <c r="G220">
        <v>13962</v>
      </c>
      <c r="H220" t="str">
        <f t="shared" si="25"/>
        <v/>
      </c>
      <c r="I220" t="str">
        <f>LOOKUP(B220,ΠΕΡΙΦΕΡΕΙΑ!$A$2:$A$14,ΠΕΡΙΦΕΡΕΙΑ!$B$2:$B$14)</f>
        <v>Μερική</v>
      </c>
      <c r="J220" t="str">
        <f t="shared" si="28"/>
        <v/>
      </c>
      <c r="K220">
        <f t="shared" si="29"/>
        <v>297</v>
      </c>
      <c r="L220" t="str">
        <f t="shared" si="26"/>
        <v>ΠΕΛΟΠΟΝΝΗΣΟΥ</v>
      </c>
      <c r="M220" t="str">
        <f t="shared" si="27"/>
        <v>ΠΕΛΟΠΟΝΝΗΣΟΥ - ΣΙΚΥΩΝΙΩΝ</v>
      </c>
      <c r="N220">
        <f t="shared" si="30"/>
        <v>14460</v>
      </c>
      <c r="O220" t="str">
        <f t="shared" si="31"/>
        <v>Σικυωνίων</v>
      </c>
    </row>
    <row r="221" spans="1:15" x14ac:dyDescent="0.3">
      <c r="A221">
        <v>220</v>
      </c>
      <c r="B221" t="s">
        <v>409</v>
      </c>
      <c r="C221" t="s">
        <v>387</v>
      </c>
      <c r="D221" t="s">
        <v>268</v>
      </c>
      <c r="E221" t="str">
        <f t="shared" si="24"/>
        <v xml:space="preserve">ΚΡΗΤΗΣ - ΑΝΩΓΕΙΩΝ, </v>
      </c>
      <c r="F221" t="s">
        <v>759</v>
      </c>
      <c r="G221">
        <v>13908</v>
      </c>
      <c r="H221" t="str">
        <f t="shared" si="25"/>
        <v>ΝΑΙ</v>
      </c>
      <c r="I221" t="str">
        <f>LOOKUP(B221,ΠΕΡΙΦΕΡΕΙΑ!$A$2:$A$14,ΠΕΡΙΦΕΡΕΙΑ!$B$2:$B$14)</f>
        <v>Μερική</v>
      </c>
      <c r="J221">
        <f t="shared" si="28"/>
        <v>220</v>
      </c>
      <c r="K221">
        <f t="shared" si="29"/>
        <v>298</v>
      </c>
      <c r="L221" t="str">
        <f t="shared" si="26"/>
        <v>ΠΕΛΟΠΟΝΝΗΣΟΥ</v>
      </c>
      <c r="M221" t="str">
        <f t="shared" si="27"/>
        <v>ΠΕΛΟΠΟΝΝΗΣΟΥ - ΣΠΑΡΤΗΣ</v>
      </c>
      <c r="N221">
        <f t="shared" si="30"/>
        <v>14478</v>
      </c>
      <c r="O221" t="str">
        <f t="shared" si="31"/>
        <v>Σπάρτης</v>
      </c>
    </row>
    <row r="222" spans="1:15" x14ac:dyDescent="0.3">
      <c r="A222">
        <v>221</v>
      </c>
      <c r="B222" t="s">
        <v>409</v>
      </c>
      <c r="C222" t="s">
        <v>277</v>
      </c>
      <c r="D222" t="s">
        <v>271</v>
      </c>
      <c r="E222" t="str">
        <f t="shared" si="24"/>
        <v xml:space="preserve">ΚΡΗΤΗΣ - ΑΠΟΚΟΡΩΝΟΥ, </v>
      </c>
      <c r="F222" t="s">
        <v>760</v>
      </c>
      <c r="G222">
        <v>13990</v>
      </c>
      <c r="H222" t="str">
        <f t="shared" si="25"/>
        <v>ΝΑΙ</v>
      </c>
      <c r="I222" t="str">
        <f>LOOKUP(B222,ΠΕΡΙΦΕΡΕΙΑ!$A$2:$A$14,ΠΕΡΙΦΕΡΕΙΑ!$B$2:$B$14)</f>
        <v>Μερική</v>
      </c>
      <c r="J222">
        <f t="shared" si="28"/>
        <v>221</v>
      </c>
      <c r="K222">
        <f t="shared" si="29"/>
        <v>299</v>
      </c>
      <c r="L222" t="str">
        <f t="shared" si="26"/>
        <v>ΠΕΛΟΠΟΝΝΗΣΟΥ</v>
      </c>
      <c r="M222" t="str">
        <f t="shared" si="27"/>
        <v>ΠΕΛΟΠΟΝΝΗΣΟΥ - ΤΡΙΠΟΛΗΣ</v>
      </c>
      <c r="N222">
        <f t="shared" si="30"/>
        <v>14500</v>
      </c>
      <c r="O222" t="str">
        <f t="shared" si="31"/>
        <v>Τρίπολης</v>
      </c>
    </row>
    <row r="223" spans="1:15" x14ac:dyDescent="0.3">
      <c r="A223">
        <v>222</v>
      </c>
      <c r="B223" t="s">
        <v>409</v>
      </c>
      <c r="C223" t="s">
        <v>77</v>
      </c>
      <c r="D223" t="s">
        <v>255</v>
      </c>
      <c r="E223" t="str">
        <f t="shared" si="24"/>
        <v xml:space="preserve">ΚΡΗΤΗΣ - ΑΡΧΑΝΩΝ – ΑΣΤΕΡΟΥΣΙΩΝ, </v>
      </c>
      <c r="F223" t="s">
        <v>761</v>
      </c>
      <c r="G223">
        <v>14002</v>
      </c>
      <c r="H223" t="str">
        <f t="shared" si="25"/>
        <v>ΝΑΙ</v>
      </c>
      <c r="I223" t="str">
        <f>LOOKUP(B223,ΠΕΡΙΦΕΡΕΙΑ!$A$2:$A$14,ΠΕΡΙΦΕΡΕΙΑ!$B$2:$B$14)</f>
        <v>Μερική</v>
      </c>
      <c r="J223">
        <f t="shared" si="28"/>
        <v>222</v>
      </c>
      <c r="K223">
        <f t="shared" si="29"/>
        <v>300</v>
      </c>
      <c r="L223" t="str">
        <f t="shared" si="26"/>
        <v>ΠΕΛΟΠΟΝΝΗΣΟΥ</v>
      </c>
      <c r="M223" t="str">
        <f t="shared" si="27"/>
        <v>ΠΕΛΟΠΟΝΝΗΣΟΥ - ΤΡΙΦΥΛΙΑΣ</v>
      </c>
      <c r="N223">
        <f t="shared" si="30"/>
        <v>14504</v>
      </c>
      <c r="O223" t="str">
        <f t="shared" si="31"/>
        <v>Τριφυλίας</v>
      </c>
    </row>
    <row r="224" spans="1:15" x14ac:dyDescent="0.3">
      <c r="A224">
        <v>223</v>
      </c>
      <c r="B224" t="s">
        <v>409</v>
      </c>
      <c r="C224" t="s">
        <v>77</v>
      </c>
      <c r="D224" t="s">
        <v>256</v>
      </c>
      <c r="E224" t="str">
        <f t="shared" si="24"/>
        <v xml:space="preserve">ΚΡΗΤΗΣ - ΒΙΑΝΝΟΥ, </v>
      </c>
      <c r="F224" t="s">
        <v>762</v>
      </c>
      <c r="G224">
        <v>14016</v>
      </c>
      <c r="H224" t="str">
        <f t="shared" si="25"/>
        <v>ΝΑΙ</v>
      </c>
      <c r="I224" t="str">
        <f>LOOKUP(B224,ΠΕΡΙΦΕΡΕΙΑ!$A$2:$A$14,ΠΕΡΙΦΕΡΕΙΑ!$B$2:$B$14)</f>
        <v>Μερική</v>
      </c>
      <c r="J224">
        <f t="shared" si="28"/>
        <v>223</v>
      </c>
      <c r="K224">
        <f t="shared" si="29"/>
        <v>302</v>
      </c>
      <c r="L224" t="str">
        <f t="shared" si="26"/>
        <v>ΣΤΕΡΕΑΣ ΕΛΛΑΔΑΣ</v>
      </c>
      <c r="M224" t="str">
        <f t="shared" si="27"/>
        <v>ΣΤΕΡΕΑΣ ΕΛΛΑΔΑΣ - ΑΛΙΑΡΤΟΥ</v>
      </c>
      <c r="N224">
        <f t="shared" si="30"/>
        <v>13954</v>
      </c>
      <c r="O224" t="str">
        <f t="shared" si="31"/>
        <v>Αλιάρτου</v>
      </c>
    </row>
    <row r="225" spans="1:15" x14ac:dyDescent="0.3">
      <c r="A225">
        <v>224</v>
      </c>
      <c r="B225" t="s">
        <v>409</v>
      </c>
      <c r="C225" t="s">
        <v>277</v>
      </c>
      <c r="D225" t="s">
        <v>272</v>
      </c>
      <c r="E225" t="str">
        <f t="shared" si="24"/>
        <v xml:space="preserve">ΚΡΗΤΗΣ - ΓΑΥΔΟΥ, </v>
      </c>
      <c r="F225" t="s">
        <v>763</v>
      </c>
      <c r="G225">
        <v>14026</v>
      </c>
      <c r="H225" t="str">
        <f t="shared" si="25"/>
        <v/>
      </c>
      <c r="I225" t="str">
        <f>LOOKUP(B225,ΠΕΡΙΦΕΡΕΙΑ!$A$2:$A$14,ΠΕΡΙΦΕΡΕΙΑ!$B$2:$B$14)</f>
        <v>Μερική</v>
      </c>
      <c r="J225" t="str">
        <f t="shared" si="28"/>
        <v/>
      </c>
      <c r="K225">
        <f t="shared" si="29"/>
        <v>303</v>
      </c>
      <c r="L225" t="str">
        <f t="shared" si="26"/>
        <v>ΣΤΕΡΕΑΣ ΕΛΛΑΔΑΣ</v>
      </c>
      <c r="M225" t="str">
        <f t="shared" si="27"/>
        <v>ΣΤΕΡΕΑΣ ΕΛΛΑΔΑΣ - ΑΜΦΙΚΛΕΙΑΣ – ΕΛΑΤΕΙΑΣ</v>
      </c>
      <c r="N225">
        <f t="shared" si="30"/>
        <v>13972</v>
      </c>
      <c r="O225" t="str">
        <f t="shared" si="31"/>
        <v>Αμφίκλειας - Ελάτειας</v>
      </c>
    </row>
    <row r="226" spans="1:15" x14ac:dyDescent="0.3">
      <c r="A226">
        <v>225</v>
      </c>
      <c r="B226" t="s">
        <v>409</v>
      </c>
      <c r="C226" t="s">
        <v>77</v>
      </c>
      <c r="D226" t="s">
        <v>257</v>
      </c>
      <c r="E226" t="str">
        <f t="shared" si="24"/>
        <v xml:space="preserve">ΚΡΗΤΗΣ - ΓΟΡΤΥΝΑΣ, </v>
      </c>
      <c r="F226" t="s">
        <v>764</v>
      </c>
      <c r="G226">
        <v>14044</v>
      </c>
      <c r="H226" t="str">
        <f t="shared" si="25"/>
        <v>ΝΑΙ</v>
      </c>
      <c r="I226" t="str">
        <f>LOOKUP(B226,ΠΕΡΙΦΕΡΕΙΑ!$A$2:$A$14,ΠΕΡΙΦΕΡΕΙΑ!$B$2:$B$14)</f>
        <v>Μερική</v>
      </c>
      <c r="J226">
        <f t="shared" si="28"/>
        <v>225</v>
      </c>
      <c r="K226">
        <f t="shared" si="29"/>
        <v>304</v>
      </c>
      <c r="L226" t="str">
        <f t="shared" si="26"/>
        <v>ΣΤΕΡΕΑΣ ΕΛΛΑΔΑΣ</v>
      </c>
      <c r="M226" t="str">
        <f t="shared" si="27"/>
        <v>ΣΤΕΡΕΑΣ ΕΛΛΑΔΑΣ - ΔΕΛΦΩΝ</v>
      </c>
      <c r="N226">
        <f t="shared" si="30"/>
        <v>14052</v>
      </c>
      <c r="O226" t="str">
        <f t="shared" si="31"/>
        <v>Δελφών</v>
      </c>
    </row>
    <row r="227" spans="1:15" x14ac:dyDescent="0.3">
      <c r="A227">
        <v>226</v>
      </c>
      <c r="B227" t="s">
        <v>409</v>
      </c>
      <c r="C227" t="s">
        <v>77</v>
      </c>
      <c r="D227" t="s">
        <v>77</v>
      </c>
      <c r="E227" t="str">
        <f t="shared" si="24"/>
        <v xml:space="preserve">ΚΡΗΤΗΣ - ΗΡΑΚΛΕΙΟΥ, </v>
      </c>
      <c r="F227" t="s">
        <v>765</v>
      </c>
      <c r="G227">
        <v>14122</v>
      </c>
      <c r="H227" t="str">
        <f t="shared" si="25"/>
        <v>ΝΑΙ</v>
      </c>
      <c r="I227" t="str">
        <f>LOOKUP(B227,ΠΕΡΙΦΕΡΕΙΑ!$A$2:$A$14,ΠΕΡΙΦΕΡΕΙΑ!$B$2:$B$14)</f>
        <v>Μερική</v>
      </c>
      <c r="J227">
        <f t="shared" si="28"/>
        <v>226</v>
      </c>
      <c r="K227">
        <f t="shared" si="29"/>
        <v>305</v>
      </c>
      <c r="L227" t="str">
        <f t="shared" si="26"/>
        <v>ΣΤΕΡΕΑΣ ΕΛΛΑΔΑΣ</v>
      </c>
      <c r="M227" t="str">
        <f t="shared" si="27"/>
        <v>ΣΤΕΡΕΑΣ ΕΛΛΑΔΑΣ - ΔΙΡΦΥΩΝ – ΜΕΣΣΑΠΙΩΝ</v>
      </c>
      <c r="N227">
        <f t="shared" si="30"/>
        <v>14064</v>
      </c>
      <c r="O227" t="str">
        <f t="shared" si="31"/>
        <v>Διρφύων - Μεσσαπίων</v>
      </c>
    </row>
    <row r="228" spans="1:15" x14ac:dyDescent="0.3">
      <c r="A228">
        <v>227</v>
      </c>
      <c r="B228" t="s">
        <v>409</v>
      </c>
      <c r="C228" t="s">
        <v>386</v>
      </c>
      <c r="D228" t="s">
        <v>263</v>
      </c>
      <c r="E228" t="str">
        <f t="shared" si="24"/>
        <v xml:space="preserve">ΚΡΗΤΗΣ - ΙΕΡΑΠΕΤΡΑΣ, </v>
      </c>
      <c r="F228" t="s">
        <v>766</v>
      </c>
      <c r="G228">
        <v>14134</v>
      </c>
      <c r="H228" t="str">
        <f t="shared" si="25"/>
        <v>ΝΑΙ</v>
      </c>
      <c r="I228" t="str">
        <f>LOOKUP(B228,ΠΕΡΙΦΕΡΕΙΑ!$A$2:$A$14,ΠΕΡΙΦΕΡΕΙΑ!$B$2:$B$14)</f>
        <v>Μερική</v>
      </c>
      <c r="J228">
        <f t="shared" si="28"/>
        <v>227</v>
      </c>
      <c r="K228">
        <f t="shared" si="29"/>
        <v>306</v>
      </c>
      <c r="L228" t="str">
        <f t="shared" si="26"/>
        <v>ΣΤΕΡΕΑΣ ΕΛΛΑΔΑΣ</v>
      </c>
      <c r="M228" t="str">
        <f t="shared" si="27"/>
        <v>ΣΤΕΡΕΑΣ ΕΛΛΑΔΑΣ - ΔΙΣΤΟΜΟΥ – ΑΡΑΧΟΒΑΣ – ΑΝΤΙΚΥΡΑΣ</v>
      </c>
      <c r="N228">
        <f t="shared" si="30"/>
        <v>14056</v>
      </c>
      <c r="O228" t="str">
        <f t="shared" si="31"/>
        <v>Διστόμου-Αράχοβας - Αντίκυρας</v>
      </c>
    </row>
    <row r="229" spans="1:15" x14ac:dyDescent="0.3">
      <c r="A229">
        <v>228</v>
      </c>
      <c r="B229" t="s">
        <v>409</v>
      </c>
      <c r="C229" t="s">
        <v>277</v>
      </c>
      <c r="D229" t="s">
        <v>273</v>
      </c>
      <c r="E229" t="str">
        <f t="shared" si="24"/>
        <v xml:space="preserve">ΚΡΗΤΗΣ - ΚΑΝΤΑΝΟΥ – ΣΕΛΙΝΟΥ, </v>
      </c>
      <c r="F229" t="s">
        <v>767</v>
      </c>
      <c r="G229">
        <v>14186</v>
      </c>
      <c r="H229" t="str">
        <f t="shared" si="25"/>
        <v>ΝΑΙ</v>
      </c>
      <c r="I229" t="str">
        <f>LOOKUP(B229,ΠΕΡΙΦΕΡΕΙΑ!$A$2:$A$14,ΠΕΡΙΦΕΡΕΙΑ!$B$2:$B$14)</f>
        <v>Μερική</v>
      </c>
      <c r="J229">
        <f t="shared" si="28"/>
        <v>228</v>
      </c>
      <c r="K229">
        <f t="shared" si="29"/>
        <v>307</v>
      </c>
      <c r="L229" t="str">
        <f t="shared" si="26"/>
        <v>ΣΤΕΡΕΑΣ ΕΛΛΑΔΑΣ</v>
      </c>
      <c r="M229" t="str">
        <f t="shared" si="27"/>
        <v>ΣΤΕΡΕΑΣ ΕΛΛΑΔΑΣ - ΔΟΜΟΚΟΥ</v>
      </c>
      <c r="N229">
        <f t="shared" si="30"/>
        <v>14066</v>
      </c>
      <c r="O229" t="str">
        <f t="shared" si="31"/>
        <v>Δομοκού</v>
      </c>
    </row>
    <row r="230" spans="1:15" x14ac:dyDescent="0.3">
      <c r="A230">
        <v>229</v>
      </c>
      <c r="B230" t="s">
        <v>409</v>
      </c>
      <c r="C230" t="s">
        <v>277</v>
      </c>
      <c r="D230" t="s">
        <v>274</v>
      </c>
      <c r="E230" t="str">
        <f t="shared" si="24"/>
        <v xml:space="preserve">ΚΡΗΤΗΣ - ΚΙΣΣΑΜΟΥ, </v>
      </c>
      <c r="F230" t="s">
        <v>768</v>
      </c>
      <c r="G230">
        <v>14216</v>
      </c>
      <c r="H230" t="str">
        <f t="shared" si="25"/>
        <v>ΝΑΙ</v>
      </c>
      <c r="I230" t="str">
        <f>LOOKUP(B230,ΠΕΡΙΦΕΡΕΙΑ!$A$2:$A$14,ΠΕΡΙΦΕΡΕΙΑ!$B$2:$B$14)</f>
        <v>Μερική</v>
      </c>
      <c r="J230">
        <f t="shared" si="28"/>
        <v>229</v>
      </c>
      <c r="K230">
        <f t="shared" si="29"/>
        <v>308</v>
      </c>
      <c r="L230" t="str">
        <f t="shared" si="26"/>
        <v>ΣΤΕΡΕΑΣ ΕΛΛΑΔΑΣ</v>
      </c>
      <c r="M230" t="str">
        <f t="shared" si="27"/>
        <v>ΣΤΕΡΕΑΣ ΕΛΛΑΔΑΣ - ΔΩΡΙΔΟΣ</v>
      </c>
      <c r="N230">
        <f t="shared" si="30"/>
        <v>14078</v>
      </c>
      <c r="O230" t="str">
        <f t="shared" si="31"/>
        <v>Δωρίδος</v>
      </c>
    </row>
    <row r="231" spans="1:15" x14ac:dyDescent="0.3">
      <c r="A231">
        <v>230</v>
      </c>
      <c r="B231" t="s">
        <v>409</v>
      </c>
      <c r="C231" t="s">
        <v>77</v>
      </c>
      <c r="D231" t="s">
        <v>258</v>
      </c>
      <c r="E231" t="str">
        <f t="shared" si="24"/>
        <v xml:space="preserve">ΚΡΗΤΗΣ - ΜΑΛΕΒΙΖΙΟΥ, </v>
      </c>
      <c r="F231" t="s">
        <v>769</v>
      </c>
      <c r="G231">
        <v>14264</v>
      </c>
      <c r="H231" t="str">
        <f t="shared" si="25"/>
        <v>ΝΑΙ</v>
      </c>
      <c r="I231" t="str">
        <f>LOOKUP(B231,ΠΕΡΙΦΕΡΕΙΑ!$A$2:$A$14,ΠΕΡΙΦΕΡΕΙΑ!$B$2:$B$14)</f>
        <v>Μερική</v>
      </c>
      <c r="J231">
        <f t="shared" si="28"/>
        <v>230</v>
      </c>
      <c r="K231">
        <f t="shared" si="29"/>
        <v>309</v>
      </c>
      <c r="L231" t="str">
        <f t="shared" si="26"/>
        <v>ΣΤΕΡΕΑΣ ΕΛΛΑΔΑΣ</v>
      </c>
      <c r="M231" t="str">
        <f t="shared" si="27"/>
        <v>ΣΤΕΡΕΑΣ ΕΛΛΑΔΑΣ - ΕΡΕΤΡΙΑΣ</v>
      </c>
      <c r="N231">
        <f t="shared" si="30"/>
        <v>14094</v>
      </c>
      <c r="O231" t="str">
        <f t="shared" si="31"/>
        <v>Ερέτριας</v>
      </c>
    </row>
    <row r="232" spans="1:15" x14ac:dyDescent="0.3">
      <c r="A232">
        <v>231</v>
      </c>
      <c r="B232" t="s">
        <v>409</v>
      </c>
      <c r="C232" t="s">
        <v>77</v>
      </c>
      <c r="D232" t="s">
        <v>259</v>
      </c>
      <c r="E232" t="str">
        <f t="shared" si="24"/>
        <v xml:space="preserve">ΚΡΗΤΗΣ - ΜΙΝΩΑ ΠΕΔΙΑΔΑΣ, </v>
      </c>
      <c r="F232" t="s">
        <v>770</v>
      </c>
      <c r="G232">
        <v>14298</v>
      </c>
      <c r="H232" t="str">
        <f t="shared" si="25"/>
        <v>ΝΑΙ</v>
      </c>
      <c r="I232" t="str">
        <f>LOOKUP(B232,ΠΕΡΙΦΕΡΕΙΑ!$A$2:$A$14,ΠΕΡΙΦΕΡΕΙΑ!$B$2:$B$14)</f>
        <v>Μερική</v>
      </c>
      <c r="J232">
        <f t="shared" si="28"/>
        <v>231</v>
      </c>
      <c r="K232">
        <f t="shared" si="29"/>
        <v>310</v>
      </c>
      <c r="L232" t="str">
        <f t="shared" si="26"/>
        <v>ΣΤΕΡΕΑΣ ΕΛΛΑΔΑΣ</v>
      </c>
      <c r="M232" t="str">
        <f t="shared" si="27"/>
        <v>ΣΤΕΡΕΑΣ ΕΛΛΑΔΑΣ - ΘΗΒΑΙΩΝ</v>
      </c>
      <c r="N232">
        <f t="shared" si="30"/>
        <v>14132</v>
      </c>
      <c r="O232" t="str">
        <f t="shared" si="31"/>
        <v>Θηβαίων</v>
      </c>
    </row>
    <row r="233" spans="1:15" x14ac:dyDescent="0.3">
      <c r="A233">
        <v>232</v>
      </c>
      <c r="B233" t="s">
        <v>409</v>
      </c>
      <c r="C233" t="s">
        <v>387</v>
      </c>
      <c r="D233" t="s">
        <v>269</v>
      </c>
      <c r="E233" t="str">
        <f t="shared" si="24"/>
        <v xml:space="preserve">ΚΡΗΤΗΣ - ΜΥΛΟΠΟΤΑΜΟΥ, </v>
      </c>
      <c r="F233" t="s">
        <v>771</v>
      </c>
      <c r="G233">
        <v>14270</v>
      </c>
      <c r="H233" t="str">
        <f t="shared" si="25"/>
        <v>ΝΑΙ</v>
      </c>
      <c r="I233" t="str">
        <f>LOOKUP(B233,ΠΕΡΙΦΕΡΕΙΑ!$A$2:$A$14,ΠΕΡΙΦΕΡΕΙΑ!$B$2:$B$14)</f>
        <v>Μερική</v>
      </c>
      <c r="J233">
        <f t="shared" si="28"/>
        <v>232</v>
      </c>
      <c r="K233">
        <f t="shared" si="29"/>
        <v>311</v>
      </c>
      <c r="L233" t="str">
        <f t="shared" si="26"/>
        <v>ΣΤΕΡΕΑΣ ΕΛΛΑΔΑΣ</v>
      </c>
      <c r="M233" t="str">
        <f t="shared" si="27"/>
        <v>ΣΤΕΡΕΑΣ ΕΛΛΑΔΑΣ - ΙΣΤΙΑΙΑΣ – ΑΙΔΗΨΟΥ</v>
      </c>
      <c r="N233">
        <f t="shared" si="30"/>
        <v>14152</v>
      </c>
      <c r="O233" t="str">
        <f t="shared" si="31"/>
        <v>Ιστιαίας - Αιδηψού</v>
      </c>
    </row>
    <row r="234" spans="1:15" x14ac:dyDescent="0.3">
      <c r="A234">
        <v>233</v>
      </c>
      <c r="B234" t="s">
        <v>409</v>
      </c>
      <c r="C234" t="s">
        <v>386</v>
      </c>
      <c r="D234" t="s">
        <v>264</v>
      </c>
      <c r="E234" t="str">
        <f t="shared" si="24"/>
        <v xml:space="preserve">ΚΡΗΤΗΣ - ΟΡΟΠΕΔΙΟΥ ΛΑΣΙΘΙΟΥ, </v>
      </c>
      <c r="F234" t="s">
        <v>772</v>
      </c>
      <c r="G234">
        <v>14358</v>
      </c>
      <c r="H234" t="str">
        <f t="shared" si="25"/>
        <v>ΝΑΙ</v>
      </c>
      <c r="I234" t="str">
        <f>LOOKUP(B234,ΠΕΡΙΦΕΡΕΙΑ!$A$2:$A$14,ΠΕΡΙΦΕΡΕΙΑ!$B$2:$B$14)</f>
        <v>Μερική</v>
      </c>
      <c r="J234">
        <f t="shared" si="28"/>
        <v>233</v>
      </c>
      <c r="K234">
        <f t="shared" si="29"/>
        <v>312</v>
      </c>
      <c r="L234" t="str">
        <f t="shared" si="26"/>
        <v>ΣΤΕΡΕΑΣ ΕΛΛΑΔΑΣ</v>
      </c>
      <c r="M234" t="str">
        <f t="shared" si="27"/>
        <v>ΣΤΕΡΕΑΣ ΕΛΛΑΔΑΣ - ΚΑΡΠΕΝΗΣΙΟΥ</v>
      </c>
      <c r="N234">
        <f t="shared" si="30"/>
        <v>14194</v>
      </c>
      <c r="O234" t="str">
        <f t="shared" si="31"/>
        <v>Καρπενησίου</v>
      </c>
    </row>
    <row r="235" spans="1:15" x14ac:dyDescent="0.3">
      <c r="A235">
        <v>234</v>
      </c>
      <c r="B235" t="s">
        <v>409</v>
      </c>
      <c r="C235" t="s">
        <v>277</v>
      </c>
      <c r="D235" t="s">
        <v>275</v>
      </c>
      <c r="E235" t="str">
        <f t="shared" si="24"/>
        <v xml:space="preserve">ΚΡΗΤΗΣ - ΠΛΑΤΑΝΙΑ, </v>
      </c>
      <c r="F235" t="s">
        <v>773</v>
      </c>
      <c r="G235">
        <v>14412</v>
      </c>
      <c r="H235" t="str">
        <f t="shared" si="25"/>
        <v/>
      </c>
      <c r="I235" t="str">
        <f>LOOKUP(B235,ΠΕΡΙΦΕΡΕΙΑ!$A$2:$A$14,ΠΕΡΙΦΕΡΕΙΑ!$B$2:$B$14)</f>
        <v>Μερική</v>
      </c>
      <c r="J235" t="str">
        <f t="shared" si="28"/>
        <v/>
      </c>
      <c r="K235">
        <f t="shared" si="29"/>
        <v>313</v>
      </c>
      <c r="L235" t="str">
        <f t="shared" si="26"/>
        <v>ΣΤΕΡΕΑΣ ΕΛΛΑΔΑΣ</v>
      </c>
      <c r="M235" t="str">
        <f t="shared" si="27"/>
        <v>ΣΤΕΡΕΑΣ ΕΛΛΑΔΑΣ - ΚΑΡΥΣΤΟΥ</v>
      </c>
      <c r="N235">
        <f t="shared" si="30"/>
        <v>14196</v>
      </c>
      <c r="O235" t="str">
        <f t="shared" si="31"/>
        <v>Καρύστου</v>
      </c>
    </row>
    <row r="236" spans="1:15" x14ac:dyDescent="0.3">
      <c r="A236">
        <v>235</v>
      </c>
      <c r="B236" t="s">
        <v>409</v>
      </c>
      <c r="C236" t="s">
        <v>387</v>
      </c>
      <c r="D236" t="s">
        <v>270</v>
      </c>
      <c r="E236" t="str">
        <f t="shared" si="24"/>
        <v xml:space="preserve">ΚΡΗΤΗΣ - ΡΕΘΥΜΝΗΣ, </v>
      </c>
      <c r="F236" t="s">
        <v>774</v>
      </c>
      <c r="G236">
        <v>14428</v>
      </c>
      <c r="H236" t="str">
        <f t="shared" si="25"/>
        <v>ΝΑΙ</v>
      </c>
      <c r="I236" t="str">
        <f>LOOKUP(B236,ΠΕΡΙΦΕΡΕΙΑ!$A$2:$A$14,ΠΕΡΙΦΕΡΕΙΑ!$B$2:$B$14)</f>
        <v>Μερική</v>
      </c>
      <c r="J236">
        <f t="shared" si="28"/>
        <v>235</v>
      </c>
      <c r="K236">
        <f t="shared" si="29"/>
        <v>314</v>
      </c>
      <c r="L236" t="str">
        <f t="shared" si="26"/>
        <v>ΣΤΕΡΕΑΣ ΕΛΛΑΔΑΣ</v>
      </c>
      <c r="M236" t="str">
        <f t="shared" si="27"/>
        <v>ΣΤΕΡΕΑΣ ΕΛΛΑΔΑΣ - ΚΥΜΗΣ – ΑΛΙΒΕΡΙΟΥ</v>
      </c>
      <c r="N236">
        <f t="shared" si="30"/>
        <v>14234</v>
      </c>
      <c r="O236" t="str">
        <f t="shared" si="31"/>
        <v>Κύμης - Αλιβερίου</v>
      </c>
    </row>
    <row r="237" spans="1:15" x14ac:dyDescent="0.3">
      <c r="A237">
        <v>236</v>
      </c>
      <c r="B237" t="s">
        <v>409</v>
      </c>
      <c r="C237" t="s">
        <v>386</v>
      </c>
      <c r="D237" t="s">
        <v>265</v>
      </c>
      <c r="E237" t="str">
        <f t="shared" si="24"/>
        <v xml:space="preserve">ΚΡΗΤΗΣ - ΣΗΤΕΙΑΣ, </v>
      </c>
      <c r="F237" t="s">
        <v>775</v>
      </c>
      <c r="G237">
        <v>14452</v>
      </c>
      <c r="H237" t="str">
        <f t="shared" si="25"/>
        <v>ΝΑΙ</v>
      </c>
      <c r="I237" t="str">
        <f>LOOKUP(B237,ΠΕΡΙΦΕΡΕΙΑ!$A$2:$A$14,ΠΕΡΙΦΕΡΕΙΑ!$B$2:$B$14)</f>
        <v>Μερική</v>
      </c>
      <c r="J237">
        <f t="shared" si="28"/>
        <v>236</v>
      </c>
      <c r="K237">
        <f t="shared" si="29"/>
        <v>315</v>
      </c>
      <c r="L237" t="str">
        <f t="shared" si="26"/>
        <v>ΣΤΕΡΕΑΣ ΕΛΛΑΔΑΣ</v>
      </c>
      <c r="M237" t="str">
        <f t="shared" si="27"/>
        <v>ΣΤΕΡΕΑΣ ΕΛΛΑΔΑΣ - ΛΑΜΙΕΩΝ</v>
      </c>
      <c r="N237">
        <f t="shared" si="30"/>
        <v>14236</v>
      </c>
      <c r="O237" t="str">
        <f t="shared" si="31"/>
        <v>Λαμιέων</v>
      </c>
    </row>
    <row r="238" spans="1:15" x14ac:dyDescent="0.3">
      <c r="A238">
        <v>237</v>
      </c>
      <c r="B238" t="s">
        <v>409</v>
      </c>
      <c r="C238" t="s">
        <v>277</v>
      </c>
      <c r="D238" t="s">
        <v>276</v>
      </c>
      <c r="E238" t="str">
        <f t="shared" si="24"/>
        <v xml:space="preserve">ΚΡΗΤΗΣ - ΣΦΑΚΙΩΝ, </v>
      </c>
      <c r="F238" t="s">
        <v>776</v>
      </c>
      <c r="G238">
        <v>14442</v>
      </c>
      <c r="H238" t="str">
        <f t="shared" si="25"/>
        <v>ΝΑΙ</v>
      </c>
      <c r="I238" t="str">
        <f>LOOKUP(B238,ΠΕΡΙΦΕΡΕΙΑ!$A$2:$A$14,ΠΕΡΙΦΕΡΕΙΑ!$B$2:$B$14)</f>
        <v>Μερική</v>
      </c>
      <c r="J238">
        <f t="shared" si="28"/>
        <v>237</v>
      </c>
      <c r="K238">
        <f t="shared" si="29"/>
        <v>316</v>
      </c>
      <c r="L238" t="str">
        <f t="shared" si="26"/>
        <v>ΣΤΕΡΕΑΣ ΕΛΛΑΔΑΣ</v>
      </c>
      <c r="M238" t="str">
        <f t="shared" si="27"/>
        <v>ΣΤΕΡΕΑΣ ΕΛΛΑΔΑΣ - ΛΕΒΑΔΕΩΝ</v>
      </c>
      <c r="N238">
        <f t="shared" si="30"/>
        <v>14250</v>
      </c>
      <c r="O238" t="str">
        <f t="shared" si="31"/>
        <v>Λεβαδέων</v>
      </c>
    </row>
    <row r="239" spans="1:15" x14ac:dyDescent="0.3">
      <c r="A239">
        <v>238</v>
      </c>
      <c r="B239" t="s">
        <v>409</v>
      </c>
      <c r="C239" t="s">
        <v>77</v>
      </c>
      <c r="D239" t="s">
        <v>260</v>
      </c>
      <c r="E239" t="str">
        <f t="shared" si="24"/>
        <v xml:space="preserve">ΚΡΗΤΗΣ - ΦΑΙΣΤΟΥ, </v>
      </c>
      <c r="F239" t="s">
        <v>777</v>
      </c>
      <c r="G239">
        <v>14510</v>
      </c>
      <c r="H239" t="str">
        <f t="shared" si="25"/>
        <v>ΝΑΙ</v>
      </c>
      <c r="I239" t="str">
        <f>LOOKUP(B239,ΠΕΡΙΦΕΡΕΙΑ!$A$2:$A$14,ΠΕΡΙΦΕΡΕΙΑ!$B$2:$B$14)</f>
        <v>Μερική</v>
      </c>
      <c r="J239">
        <f t="shared" si="28"/>
        <v>238</v>
      </c>
      <c r="K239">
        <f t="shared" si="29"/>
        <v>317</v>
      </c>
      <c r="L239" t="str">
        <f t="shared" si="26"/>
        <v>ΣΤΕΡΕΑΣ ΕΛΛΑΔΑΣ</v>
      </c>
      <c r="M239" t="str">
        <f t="shared" si="27"/>
        <v>ΣΤΕΡΕΑΣ ΕΛΛΑΔΑΣ - ΛΟΚΡΩΝ</v>
      </c>
      <c r="N239">
        <f t="shared" si="30"/>
        <v>14242</v>
      </c>
      <c r="O239" t="str">
        <f t="shared" si="31"/>
        <v>Λοκρών</v>
      </c>
    </row>
    <row r="240" spans="1:15" x14ac:dyDescent="0.3">
      <c r="A240">
        <v>239</v>
      </c>
      <c r="B240" t="s">
        <v>409</v>
      </c>
      <c r="C240" t="s">
        <v>277</v>
      </c>
      <c r="D240" t="s">
        <v>277</v>
      </c>
      <c r="E240" t="str">
        <f t="shared" si="24"/>
        <v xml:space="preserve">ΚΡΗΤΗΣ - ΧΑΝΙΩΝ, </v>
      </c>
      <c r="F240" t="s">
        <v>778</v>
      </c>
      <c r="G240">
        <v>14532</v>
      </c>
      <c r="H240" t="str">
        <f t="shared" si="25"/>
        <v>ΝΑΙ</v>
      </c>
      <c r="I240" t="str">
        <f>LOOKUP(B240,ΠΕΡΙΦΕΡΕΙΑ!$A$2:$A$14,ΠΕΡΙΦΕΡΕΙΑ!$B$2:$B$14)</f>
        <v>Μερική</v>
      </c>
      <c r="J240">
        <f t="shared" si="28"/>
        <v>239</v>
      </c>
      <c r="K240">
        <f t="shared" si="29"/>
        <v>320</v>
      </c>
      <c r="L240" t="str">
        <f t="shared" si="26"/>
        <v>ΣΤΕΡΕΑΣ ΕΛΛΑΔΑΣ</v>
      </c>
      <c r="M240" t="str">
        <f t="shared" si="27"/>
        <v>ΣΤΕΡΕΑΣ ΕΛΛΑΔΑΣ - ΜΩΛΟΥ – ΑΓΙΟΥ ΚΩΝΣΤΑΝΤΙΝΟΥ</v>
      </c>
      <c r="N240">
        <f t="shared" si="30"/>
        <v>14308</v>
      </c>
      <c r="O240" t="str">
        <f t="shared" si="31"/>
        <v>Μώλου - Αγ. Κωνσταντίνου</v>
      </c>
    </row>
    <row r="241" spans="1:15" x14ac:dyDescent="0.3">
      <c r="A241">
        <v>240</v>
      </c>
      <c r="B241" t="s">
        <v>409</v>
      </c>
      <c r="C241" t="s">
        <v>77</v>
      </c>
      <c r="D241" t="s">
        <v>261</v>
      </c>
      <c r="E241" t="str">
        <f t="shared" si="24"/>
        <v xml:space="preserve">ΚΡΗΤΗΣ - ΧΕΡΣΟΝΗΣΟΥ, </v>
      </c>
      <c r="F241" t="s">
        <v>779</v>
      </c>
      <c r="G241">
        <v>14540</v>
      </c>
      <c r="H241" t="str">
        <f t="shared" si="25"/>
        <v>ΝΑΙ</v>
      </c>
      <c r="I241" t="str">
        <f>LOOKUP(B241,ΠΕΡΙΦΕΡΕΙΑ!$A$2:$A$14,ΠΕΡΙΦΕΡΕΙΑ!$B$2:$B$14)</f>
        <v>Μερική</v>
      </c>
      <c r="J241">
        <f t="shared" si="28"/>
        <v>240</v>
      </c>
      <c r="K241">
        <f t="shared" si="29"/>
        <v>321</v>
      </c>
      <c r="L241" t="str">
        <f t="shared" si="26"/>
        <v>ΣΤΕΡΕΑΣ ΕΛΛΑΔΑΣ</v>
      </c>
      <c r="M241" t="str">
        <f t="shared" si="27"/>
        <v>ΣΤΕΡΕΑΣ ΕΛΛΑΔΑΣ - ΟΡΧΟΜΕΝΟΥ</v>
      </c>
      <c r="N241">
        <f t="shared" si="30"/>
        <v>14356</v>
      </c>
      <c r="O241" t="str">
        <f t="shared" si="31"/>
        <v>Ορχομενού</v>
      </c>
    </row>
    <row r="242" spans="1:15" x14ac:dyDescent="0.3">
      <c r="A242">
        <v>241</v>
      </c>
      <c r="B242" t="s">
        <v>410</v>
      </c>
      <c r="C242" t="s">
        <v>388</v>
      </c>
      <c r="D242" t="s">
        <v>284</v>
      </c>
      <c r="E242" t="str">
        <f t="shared" si="24"/>
        <v xml:space="preserve">ΝΟΤΙΟΥ ΑΙΓΑΙΟΥ - ΑΓΑΘΟΝΗΣΙΟΥ, </v>
      </c>
      <c r="F242" t="s">
        <v>780</v>
      </c>
      <c r="G242">
        <v>13936</v>
      </c>
      <c r="H242" t="str">
        <f t="shared" si="25"/>
        <v/>
      </c>
      <c r="I242" t="str">
        <f>LOOKUP(B242,ΠΕΡΙΦΕΡΕΙΑ!$A$2:$A$14,ΠΕΡΙΦΕΡΕΙΑ!$B$2:$B$14)</f>
        <v>Μερική</v>
      </c>
      <c r="J242" t="str">
        <f t="shared" si="28"/>
        <v/>
      </c>
      <c r="K242">
        <f t="shared" si="29"/>
        <v>323</v>
      </c>
      <c r="L242" t="str">
        <f t="shared" si="26"/>
        <v>ΣΤΕΡΕΑΣ ΕΛΛΑΔΑΣ</v>
      </c>
      <c r="M242" t="str">
        <f t="shared" si="27"/>
        <v>ΣΤΕΡΕΑΣ ΕΛΛΑΔΑΣ - ΣΤΥΛΙΔΟΣ</v>
      </c>
      <c r="N242">
        <f t="shared" si="30"/>
        <v>14484</v>
      </c>
      <c r="O242" t="str">
        <f t="shared" si="31"/>
        <v>Στυλίδας</v>
      </c>
    </row>
    <row r="243" spans="1:15" x14ac:dyDescent="0.3">
      <c r="A243">
        <v>242</v>
      </c>
      <c r="B243" t="s">
        <v>410</v>
      </c>
      <c r="C243" t="s">
        <v>390</v>
      </c>
      <c r="D243" t="s">
        <v>301</v>
      </c>
      <c r="E243" t="str">
        <f t="shared" si="24"/>
        <v xml:space="preserve">ΝΟΤΙΟΥ ΑΙΓΑΙΟΥ - ΑΜΟΡΓΟΥ, </v>
      </c>
      <c r="F243" t="s">
        <v>781</v>
      </c>
      <c r="G243">
        <v>13966</v>
      </c>
      <c r="H243" t="str">
        <f t="shared" si="25"/>
        <v/>
      </c>
      <c r="I243" t="str">
        <f>LOOKUP(B243,ΠΕΡΙΦΕΡΕΙΑ!$A$2:$A$14,ΠΕΡΙΦΕΡΕΙΑ!$B$2:$B$14)</f>
        <v>Μερική</v>
      </c>
      <c r="J243" t="str">
        <f t="shared" si="28"/>
        <v/>
      </c>
      <c r="K243">
        <f t="shared" si="29"/>
        <v>324</v>
      </c>
      <c r="L243" t="str">
        <f t="shared" si="26"/>
        <v>ΣΤΕΡΕΑΣ ΕΛΛΑΔΑΣ</v>
      </c>
      <c r="M243" t="str">
        <f t="shared" si="27"/>
        <v>ΣΤΕΡΕΑΣ ΕΛΛΑΔΑΣ - ΤΑΝΑΓΡΑΣ</v>
      </c>
      <c r="N243">
        <f t="shared" si="30"/>
        <v>14444</v>
      </c>
      <c r="O243" t="str">
        <f t="shared" si="31"/>
        <v>Τανάγρας</v>
      </c>
    </row>
    <row r="244" spans="1:15" x14ac:dyDescent="0.3">
      <c r="A244">
        <v>243</v>
      </c>
      <c r="B244" t="s">
        <v>410</v>
      </c>
      <c r="C244" t="s">
        <v>280</v>
      </c>
      <c r="D244" t="s">
        <v>279</v>
      </c>
      <c r="E244" t="str">
        <f t="shared" si="24"/>
        <v xml:space="preserve">ΝΟΤΙΟΥ ΑΙΓΑΙΟΥ - ΑΝΑΦΗΣ, </v>
      </c>
      <c r="F244" t="s">
        <v>782</v>
      </c>
      <c r="G244">
        <v>13978</v>
      </c>
      <c r="H244" t="str">
        <f t="shared" si="25"/>
        <v/>
      </c>
      <c r="I244" t="str">
        <f>LOOKUP(B244,ΠΕΡΙΦΕΡΕΙΑ!$A$2:$A$14,ΠΕΡΙΦΕΡΕΙΑ!$B$2:$B$14)</f>
        <v>Μερική</v>
      </c>
      <c r="J244" t="str">
        <f t="shared" si="28"/>
        <v/>
      </c>
      <c r="K244">
        <f t="shared" si="29"/>
        <v>325</v>
      </c>
      <c r="L244" t="str">
        <f t="shared" si="26"/>
        <v>ΣΤΕΡΕΑΣ ΕΛΛΑΔΑΣ</v>
      </c>
      <c r="M244" t="str">
        <f t="shared" si="27"/>
        <v>ΣΤΕΡΕΑΣ ΕΛΛΑΔΑΣ - ΧΑΛΚΙΔΕΩΝ</v>
      </c>
      <c r="N244">
        <f t="shared" si="30"/>
        <v>14538</v>
      </c>
      <c r="O244" t="str">
        <f t="shared" si="31"/>
        <v>Χαλκιδέων</v>
      </c>
    </row>
    <row r="245" spans="1:15" x14ac:dyDescent="0.3">
      <c r="A245">
        <v>244</v>
      </c>
      <c r="B245" t="s">
        <v>410</v>
      </c>
      <c r="C245" t="s">
        <v>278</v>
      </c>
      <c r="D245" t="s">
        <v>278</v>
      </c>
      <c r="E245" t="str">
        <f t="shared" si="24"/>
        <v xml:space="preserve">ΝΟΤΙΟΥ ΑΙΓΑΙΟΥ - ΑΝΔΡΟΥ, </v>
      </c>
      <c r="F245" t="s">
        <v>783</v>
      </c>
      <c r="G245">
        <v>13988</v>
      </c>
      <c r="H245" t="str">
        <f t="shared" si="25"/>
        <v>ΝΑΙ</v>
      </c>
      <c r="I245" t="str">
        <f>LOOKUP(B245,ΠΕΡΙΦΕΡΕΙΑ!$A$2:$A$14,ΠΕΡΙΦΕΡΕΙΑ!$B$2:$B$14)</f>
        <v>Μερική</v>
      </c>
      <c r="J245">
        <f t="shared" si="28"/>
        <v>244</v>
      </c>
      <c r="K245" t="e">
        <f t="shared" si="29"/>
        <v>#NUM!</v>
      </c>
      <c r="L245" t="str">
        <f t="shared" si="26"/>
        <v/>
      </c>
      <c r="M245" t="str">
        <f t="shared" si="27"/>
        <v/>
      </c>
      <c r="N245" t="str">
        <f t="shared" si="30"/>
        <v/>
      </c>
      <c r="O245" t="str">
        <f t="shared" si="31"/>
        <v/>
      </c>
    </row>
    <row r="246" spans="1:15" x14ac:dyDescent="0.3">
      <c r="A246">
        <v>245</v>
      </c>
      <c r="B246" t="s">
        <v>410</v>
      </c>
      <c r="C246" t="s">
        <v>304</v>
      </c>
      <c r="D246" t="s">
        <v>303</v>
      </c>
      <c r="E246" t="str">
        <f t="shared" si="24"/>
        <v xml:space="preserve">ΝΟΤΙΟΥ ΑΙΓΑΙΟΥ - ΑΝΤΙΠΑΡΟΥ, </v>
      </c>
      <c r="F246" t="s">
        <v>784</v>
      </c>
      <c r="G246">
        <v>13986</v>
      </c>
      <c r="H246" t="str">
        <f t="shared" si="25"/>
        <v/>
      </c>
      <c r="I246" t="str">
        <f>LOOKUP(B246,ΠΕΡΙΦΕΡΕΙΑ!$A$2:$A$14,ΠΕΡΙΦΕΡΕΙΑ!$B$2:$B$14)</f>
        <v>Μερική</v>
      </c>
      <c r="J246" t="str">
        <f t="shared" si="28"/>
        <v/>
      </c>
      <c r="K246" t="e">
        <f t="shared" si="29"/>
        <v>#NUM!</v>
      </c>
      <c r="L246" t="str">
        <f t="shared" si="26"/>
        <v/>
      </c>
      <c r="M246" t="str">
        <f t="shared" si="27"/>
        <v/>
      </c>
      <c r="N246" t="str">
        <f t="shared" si="30"/>
        <v/>
      </c>
      <c r="O246" t="str">
        <f t="shared" si="31"/>
        <v/>
      </c>
    </row>
    <row r="247" spans="1:15" x14ac:dyDescent="0.3">
      <c r="A247">
        <v>246</v>
      </c>
      <c r="B247" t="s">
        <v>410</v>
      </c>
      <c r="C247" t="s">
        <v>388</v>
      </c>
      <c r="D247" t="s">
        <v>285</v>
      </c>
      <c r="E247" t="str">
        <f t="shared" si="24"/>
        <v xml:space="preserve">ΝΟΤΙΟΥ ΑΙΓΑΙΟΥ - ΑΣΤΥΠΑΛΑΙΑΣ, </v>
      </c>
      <c r="F247" t="s">
        <v>785</v>
      </c>
      <c r="G247">
        <v>14006</v>
      </c>
      <c r="H247" t="str">
        <f t="shared" si="25"/>
        <v/>
      </c>
      <c r="I247" t="str">
        <f>LOOKUP(B247,ΠΕΡΙΦΕΡΕΙΑ!$A$2:$A$14,ΠΕΡΙΦΕΡΕΙΑ!$B$2:$B$14)</f>
        <v>Μερική</v>
      </c>
      <c r="J247" t="str">
        <f t="shared" si="28"/>
        <v/>
      </c>
      <c r="K247" t="e">
        <f t="shared" si="29"/>
        <v>#NUM!</v>
      </c>
      <c r="L247" t="str">
        <f t="shared" si="26"/>
        <v/>
      </c>
      <c r="M247" t="str">
        <f t="shared" si="27"/>
        <v/>
      </c>
      <c r="N247" t="str">
        <f t="shared" si="30"/>
        <v/>
      </c>
      <c r="O247" t="str">
        <f t="shared" si="31"/>
        <v/>
      </c>
    </row>
    <row r="248" spans="1:15" x14ac:dyDescent="0.3">
      <c r="A248">
        <v>247</v>
      </c>
      <c r="B248" t="s">
        <v>410</v>
      </c>
      <c r="C248" t="s">
        <v>280</v>
      </c>
      <c r="D248" t="s">
        <v>280</v>
      </c>
      <c r="E248" t="str">
        <f t="shared" si="24"/>
        <v xml:space="preserve">ΝΟΤΙΟΥ ΑΙΓΑΙΟΥ - ΘΗΡΑΣ, </v>
      </c>
      <c r="F248" t="s">
        <v>786</v>
      </c>
      <c r="G248">
        <v>14138</v>
      </c>
      <c r="H248" t="str">
        <f t="shared" si="25"/>
        <v>ΝΑΙ</v>
      </c>
      <c r="I248" t="str">
        <f>LOOKUP(B248,ΠΕΡΙΦΕΡΕΙΑ!$A$2:$A$14,ΠΕΡΙΦΕΡΕΙΑ!$B$2:$B$14)</f>
        <v>Μερική</v>
      </c>
      <c r="J248">
        <f t="shared" si="28"/>
        <v>247</v>
      </c>
      <c r="K248" t="e">
        <f t="shared" si="29"/>
        <v>#NUM!</v>
      </c>
      <c r="L248" t="str">
        <f t="shared" si="26"/>
        <v/>
      </c>
      <c r="M248" t="str">
        <f t="shared" si="27"/>
        <v/>
      </c>
      <c r="N248" t="str">
        <f t="shared" si="30"/>
        <v/>
      </c>
      <c r="O248" t="str">
        <f t="shared" si="31"/>
        <v/>
      </c>
    </row>
    <row r="249" spans="1:15" x14ac:dyDescent="0.3">
      <c r="A249">
        <v>248</v>
      </c>
      <c r="B249" t="s">
        <v>410</v>
      </c>
      <c r="C249" t="s">
        <v>280</v>
      </c>
      <c r="D249" t="s">
        <v>281</v>
      </c>
      <c r="E249" t="str">
        <f t="shared" si="24"/>
        <v xml:space="preserve">ΝΟΤΙΟΥ ΑΙΓΑΙΟΥ - ΙΗΤΩΝ, </v>
      </c>
      <c r="F249" t="s">
        <v>787</v>
      </c>
      <c r="G249">
        <v>14144</v>
      </c>
      <c r="H249" t="str">
        <f t="shared" si="25"/>
        <v/>
      </c>
      <c r="I249" t="str">
        <f>LOOKUP(B249,ΠΕΡΙΦΕΡΕΙΑ!$A$2:$A$14,ΠΕΡΙΦΕΡΕΙΑ!$B$2:$B$14)</f>
        <v>Μερική</v>
      </c>
      <c r="J249" t="str">
        <f t="shared" si="28"/>
        <v/>
      </c>
      <c r="K249" t="e">
        <f t="shared" si="29"/>
        <v>#NUM!</v>
      </c>
      <c r="L249" t="str">
        <f t="shared" si="26"/>
        <v/>
      </c>
      <c r="M249" t="str">
        <f t="shared" si="27"/>
        <v/>
      </c>
      <c r="N249" t="str">
        <f t="shared" si="30"/>
        <v/>
      </c>
      <c r="O249" t="str">
        <f t="shared" si="31"/>
        <v/>
      </c>
    </row>
    <row r="250" spans="1:15" x14ac:dyDescent="0.3">
      <c r="A250">
        <v>249</v>
      </c>
      <c r="B250" t="s">
        <v>410</v>
      </c>
      <c r="C250" t="s">
        <v>388</v>
      </c>
      <c r="D250" t="s">
        <v>286</v>
      </c>
      <c r="E250" t="str">
        <f t="shared" si="24"/>
        <v xml:space="preserve">ΝΟΤΙΟΥ ΑΙΓΑΙΟΥ - ΚΑΛΥΜΝΙΩΝ, </v>
      </c>
      <c r="F250" t="s">
        <v>788</v>
      </c>
      <c r="G250">
        <v>14184</v>
      </c>
      <c r="H250" t="str">
        <f t="shared" si="25"/>
        <v/>
      </c>
      <c r="I250" t="str">
        <f>LOOKUP(B250,ΠΕΡΙΦΕΡΕΙΑ!$A$2:$A$14,ΠΕΡΙΦΕΡΕΙΑ!$B$2:$B$14)</f>
        <v>Μερική</v>
      </c>
      <c r="J250" t="str">
        <f t="shared" si="28"/>
        <v/>
      </c>
      <c r="K250" t="e">
        <f t="shared" si="29"/>
        <v>#NUM!</v>
      </c>
      <c r="L250" t="str">
        <f t="shared" si="26"/>
        <v/>
      </c>
      <c r="M250" t="str">
        <f t="shared" si="27"/>
        <v/>
      </c>
      <c r="N250" t="str">
        <f t="shared" si="30"/>
        <v/>
      </c>
      <c r="O250" t="str">
        <f t="shared" si="31"/>
        <v/>
      </c>
    </row>
    <row r="251" spans="1:15" x14ac:dyDescent="0.3">
      <c r="A251">
        <v>250</v>
      </c>
      <c r="B251" t="s">
        <v>410</v>
      </c>
      <c r="C251" t="s">
        <v>290</v>
      </c>
      <c r="D251" t="s">
        <v>290</v>
      </c>
      <c r="E251" t="str">
        <f t="shared" si="24"/>
        <v xml:space="preserve">ΝΟΤΙΟΥ ΑΙΓΑΙΟΥ - ΚΑΡΠΑΘΟΥ, </v>
      </c>
      <c r="F251" t="s">
        <v>789</v>
      </c>
      <c r="G251">
        <v>14190</v>
      </c>
      <c r="H251" t="str">
        <f t="shared" si="25"/>
        <v/>
      </c>
      <c r="I251" t="str">
        <f>LOOKUP(B251,ΠΕΡΙΦΕΡΕΙΑ!$A$2:$A$14,ΠΕΡΙΦΕΡΕΙΑ!$B$2:$B$14)</f>
        <v>Μερική</v>
      </c>
      <c r="J251" t="str">
        <f t="shared" si="28"/>
        <v/>
      </c>
      <c r="K251" t="e">
        <f t="shared" si="29"/>
        <v>#NUM!</v>
      </c>
      <c r="L251" t="str">
        <f t="shared" si="26"/>
        <v/>
      </c>
      <c r="M251" t="str">
        <f t="shared" si="27"/>
        <v/>
      </c>
      <c r="N251" t="str">
        <f t="shared" si="30"/>
        <v/>
      </c>
      <c r="O251" t="str">
        <f t="shared" si="31"/>
        <v/>
      </c>
    </row>
    <row r="252" spans="1:15" x14ac:dyDescent="0.3">
      <c r="A252">
        <v>251</v>
      </c>
      <c r="B252" t="s">
        <v>410</v>
      </c>
      <c r="C252" t="s">
        <v>290</v>
      </c>
      <c r="D252" t="s">
        <v>291</v>
      </c>
      <c r="E252" t="str">
        <f t="shared" si="24"/>
        <v xml:space="preserve">ΝΟΤΙΟΥ ΑΙΓΑΙΟΥ - ΚΑΣΟΥ, </v>
      </c>
      <c r="F252" t="s">
        <v>790</v>
      </c>
      <c r="G252">
        <v>14198</v>
      </c>
      <c r="H252" t="str">
        <f t="shared" si="25"/>
        <v/>
      </c>
      <c r="I252" t="str">
        <f>LOOKUP(B252,ΠΕΡΙΦΕΡΕΙΑ!$A$2:$A$14,ΠΕΡΙΦΕΡΕΙΑ!$B$2:$B$14)</f>
        <v>Μερική</v>
      </c>
      <c r="J252" t="str">
        <f t="shared" si="28"/>
        <v/>
      </c>
      <c r="K252" t="e">
        <f t="shared" si="29"/>
        <v>#NUM!</v>
      </c>
      <c r="L252" t="str">
        <f t="shared" si="26"/>
        <v/>
      </c>
      <c r="M252" t="str">
        <f t="shared" si="27"/>
        <v/>
      </c>
      <c r="N252" t="str">
        <f t="shared" si="30"/>
        <v/>
      </c>
      <c r="O252" t="str">
        <f t="shared" si="31"/>
        <v/>
      </c>
    </row>
    <row r="253" spans="1:15" x14ac:dyDescent="0.3">
      <c r="A253">
        <v>252</v>
      </c>
      <c r="B253" t="s">
        <v>410</v>
      </c>
      <c r="C253" t="s">
        <v>389</v>
      </c>
      <c r="D253" t="s">
        <v>292</v>
      </c>
      <c r="E253" t="str">
        <f t="shared" si="24"/>
        <v xml:space="preserve">ΝΟΤΙΟΥ ΑΙΓΑΙΟΥ - ΚΕΑΣ, </v>
      </c>
      <c r="F253" t="s">
        <v>791</v>
      </c>
      <c r="G253">
        <v>14204</v>
      </c>
      <c r="H253" t="str">
        <f t="shared" si="25"/>
        <v/>
      </c>
      <c r="I253" t="str">
        <f>LOOKUP(B253,ΠΕΡΙΦΕΡΕΙΑ!$A$2:$A$14,ΠΕΡΙΦΕΡΕΙΑ!$B$2:$B$14)</f>
        <v>Μερική</v>
      </c>
      <c r="J253" t="str">
        <f t="shared" si="28"/>
        <v/>
      </c>
      <c r="K253" t="e">
        <f t="shared" si="29"/>
        <v>#NUM!</v>
      </c>
      <c r="L253" t="str">
        <f t="shared" si="26"/>
        <v/>
      </c>
      <c r="M253" t="str">
        <f t="shared" si="27"/>
        <v/>
      </c>
      <c r="N253" t="str">
        <f t="shared" si="30"/>
        <v/>
      </c>
      <c r="O253" t="str">
        <f t="shared" si="31"/>
        <v/>
      </c>
    </row>
    <row r="254" spans="1:15" x14ac:dyDescent="0.3">
      <c r="A254">
        <v>253</v>
      </c>
      <c r="B254" t="s">
        <v>410</v>
      </c>
      <c r="C254" t="s">
        <v>297</v>
      </c>
      <c r="D254" t="s">
        <v>296</v>
      </c>
      <c r="E254" t="str">
        <f t="shared" si="24"/>
        <v xml:space="preserve">ΝΟΤΙΟΥ ΑΙΓΑΙΟΥ - ΚΙΜΩΛΟΥ, </v>
      </c>
      <c r="F254" t="s">
        <v>792</v>
      </c>
      <c r="G254">
        <v>14214</v>
      </c>
      <c r="H254" t="str">
        <f t="shared" si="25"/>
        <v/>
      </c>
      <c r="I254" t="str">
        <f>LOOKUP(B254,ΠΕΡΙΦΕΡΕΙΑ!$A$2:$A$14,ΠΕΡΙΦΕΡΕΙΑ!$B$2:$B$14)</f>
        <v>Μερική</v>
      </c>
      <c r="J254" t="str">
        <f t="shared" si="28"/>
        <v/>
      </c>
      <c r="K254" t="e">
        <f t="shared" si="29"/>
        <v>#NUM!</v>
      </c>
      <c r="L254" t="str">
        <f t="shared" si="26"/>
        <v/>
      </c>
      <c r="M254" t="str">
        <f t="shared" si="27"/>
        <v/>
      </c>
      <c r="N254" t="str">
        <f t="shared" si="30"/>
        <v/>
      </c>
      <c r="O254" t="str">
        <f t="shared" si="31"/>
        <v/>
      </c>
    </row>
    <row r="255" spans="1:15" x14ac:dyDescent="0.3">
      <c r="A255">
        <v>254</v>
      </c>
      <c r="B255" t="s">
        <v>410</v>
      </c>
      <c r="C255" t="s">
        <v>389</v>
      </c>
      <c r="D255" t="s">
        <v>293</v>
      </c>
      <c r="E255" t="str">
        <f t="shared" si="24"/>
        <v xml:space="preserve">ΝΟΤΙΟΥ ΑΙΓΑΙΟΥ - ΚΥΘΝΟΥ, </v>
      </c>
      <c r="F255" t="s">
        <v>793</v>
      </c>
      <c r="G255">
        <v>14232</v>
      </c>
      <c r="H255" t="str">
        <f t="shared" si="25"/>
        <v/>
      </c>
      <c r="I255" t="str">
        <f>LOOKUP(B255,ΠΕΡΙΦΕΡΕΙΑ!$A$2:$A$14,ΠΕΡΙΦΕΡΕΙΑ!$B$2:$B$14)</f>
        <v>Μερική</v>
      </c>
      <c r="J255" t="str">
        <f t="shared" si="28"/>
        <v/>
      </c>
      <c r="K255" t="e">
        <f t="shared" si="29"/>
        <v>#NUM!</v>
      </c>
      <c r="L255" t="str">
        <f t="shared" si="26"/>
        <v/>
      </c>
      <c r="M255" t="str">
        <f t="shared" si="27"/>
        <v/>
      </c>
      <c r="N255" t="str">
        <f t="shared" si="30"/>
        <v/>
      </c>
      <c r="O255" t="str">
        <f t="shared" si="31"/>
        <v/>
      </c>
    </row>
    <row r="256" spans="1:15" x14ac:dyDescent="0.3">
      <c r="A256">
        <v>255</v>
      </c>
      <c r="B256" t="s">
        <v>410</v>
      </c>
      <c r="C256" t="s">
        <v>294</v>
      </c>
      <c r="D256" t="s">
        <v>294</v>
      </c>
      <c r="E256" t="str">
        <f t="shared" si="24"/>
        <v xml:space="preserve">ΝΟΤΙΟΥ ΑΙΓΑΙΟΥ - ΚΩ, </v>
      </c>
      <c r="F256" t="s">
        <v>794</v>
      </c>
      <c r="G256">
        <v>14170</v>
      </c>
      <c r="H256" t="str">
        <f t="shared" si="25"/>
        <v>ΝΑΙ</v>
      </c>
      <c r="I256" t="str">
        <f>LOOKUP(B256,ΠΕΡΙΦΕΡΕΙΑ!$A$2:$A$14,ΠΕΡΙΦΕΡΕΙΑ!$B$2:$B$14)</f>
        <v>Μερική</v>
      </c>
      <c r="J256">
        <f t="shared" si="28"/>
        <v>255</v>
      </c>
      <c r="K256" t="e">
        <f t="shared" si="29"/>
        <v>#NUM!</v>
      </c>
      <c r="L256" t="str">
        <f t="shared" si="26"/>
        <v/>
      </c>
      <c r="M256" t="str">
        <f t="shared" si="27"/>
        <v/>
      </c>
      <c r="N256" t="str">
        <f t="shared" si="30"/>
        <v/>
      </c>
      <c r="O256" t="str">
        <f t="shared" si="31"/>
        <v/>
      </c>
    </row>
    <row r="257" spans="1:15" x14ac:dyDescent="0.3">
      <c r="A257">
        <v>256</v>
      </c>
      <c r="B257" t="s">
        <v>410</v>
      </c>
      <c r="C257" t="s">
        <v>388</v>
      </c>
      <c r="D257" t="s">
        <v>287</v>
      </c>
      <c r="E257" t="str">
        <f t="shared" si="24"/>
        <v xml:space="preserve">ΝΟΤΙΟΥ ΑΙΓΑΙΟΥ - ΛΕΙΨΩΝ, </v>
      </c>
      <c r="F257" t="s">
        <v>795</v>
      </c>
      <c r="G257">
        <v>14252</v>
      </c>
      <c r="H257" t="str">
        <f t="shared" si="25"/>
        <v/>
      </c>
      <c r="I257" t="str">
        <f>LOOKUP(B257,ΠΕΡΙΦΕΡΕΙΑ!$A$2:$A$14,ΠΕΡΙΦΕΡΕΙΑ!$B$2:$B$14)</f>
        <v>Μερική</v>
      </c>
      <c r="J257" t="str">
        <f t="shared" si="28"/>
        <v/>
      </c>
      <c r="K257" t="e">
        <f t="shared" si="29"/>
        <v>#NUM!</v>
      </c>
      <c r="L257" t="str">
        <f t="shared" si="26"/>
        <v/>
      </c>
      <c r="M257" t="str">
        <f t="shared" si="27"/>
        <v/>
      </c>
      <c r="N257" t="str">
        <f t="shared" si="30"/>
        <v/>
      </c>
      <c r="O257" t="str">
        <f t="shared" si="31"/>
        <v/>
      </c>
    </row>
    <row r="258" spans="1:15" x14ac:dyDescent="0.3">
      <c r="A258">
        <v>257</v>
      </c>
      <c r="B258" t="s">
        <v>410</v>
      </c>
      <c r="C258" t="s">
        <v>388</v>
      </c>
      <c r="D258" t="s">
        <v>288</v>
      </c>
      <c r="E258" t="str">
        <f t="shared" ref="E258:E321" si="32">B258&amp;" - "&amp;D258&amp;", "</f>
        <v xml:space="preserve">ΝΟΤΙΟΥ ΑΙΓΑΙΟΥ - ΛΕΡΟΥ, </v>
      </c>
      <c r="F258" t="s">
        <v>796</v>
      </c>
      <c r="G258">
        <v>14254</v>
      </c>
      <c r="H258" t="str">
        <f t="shared" ref="H258:H326" si="33">_xlfn.IFNA(INDEX(DimosNaiOxi,MATCH(E258,DimosNai,0)),"")</f>
        <v/>
      </c>
      <c r="I258" t="str">
        <f>LOOKUP(B258,ΠΕΡΙΦΕΡΕΙΑ!$A$2:$A$14,ΠΕΡΙΦΕΡΕΙΑ!$B$2:$B$14)</f>
        <v>Μερική</v>
      </c>
      <c r="J258" t="str">
        <f t="shared" si="28"/>
        <v/>
      </c>
      <c r="K258" t="e">
        <f t="shared" si="29"/>
        <v>#NUM!</v>
      </c>
      <c r="L258" t="str">
        <f t="shared" ref="L258:L321" si="34">IF(ISNUMBER(K258),LOOKUP(K258,A:A,B:B),"")</f>
        <v/>
      </c>
      <c r="M258" t="str">
        <f t="shared" ref="M258:M326" si="35">IF(ISNUMBER(K258),LOOKUP(K258,A:A,B:B)&amp;" - "&amp;LOOKUP(K258,A:A,D:D),"")</f>
        <v/>
      </c>
      <c r="N258" t="str">
        <f t="shared" si="30"/>
        <v/>
      </c>
      <c r="O258" t="str">
        <f t="shared" si="31"/>
        <v/>
      </c>
    </row>
    <row r="259" spans="1:15" x14ac:dyDescent="0.3">
      <c r="A259">
        <v>258</v>
      </c>
      <c r="B259" t="s">
        <v>410</v>
      </c>
      <c r="C259" t="s">
        <v>306</v>
      </c>
      <c r="D259" t="s">
        <v>305</v>
      </c>
      <c r="E259" t="str">
        <f t="shared" si="32"/>
        <v xml:space="preserve">ΝΟΤΙΟΥ ΑΙΓΑΙΟΥ - ΜΕΓΙΣΤΗΣ, </v>
      </c>
      <c r="F259" t="s">
        <v>797</v>
      </c>
      <c r="G259">
        <v>14290</v>
      </c>
      <c r="H259" t="str">
        <f t="shared" si="33"/>
        <v/>
      </c>
      <c r="I259" t="str">
        <f>LOOKUP(B259,ΠΕΡΙΦΕΡΕΙΑ!$A$2:$A$14,ΠΕΡΙΦΕΡΕΙΑ!$B$2:$B$14)</f>
        <v>Μερική</v>
      </c>
      <c r="J259" t="str">
        <f t="shared" ref="J259:J322" si="36">IF(OR(AND(I259="Μερική",H259="ΝΑΙ"),I259="Ολική"),A259,"")</f>
        <v/>
      </c>
      <c r="K259" t="e">
        <f t="shared" ref="K259:K322" si="37">SMALL(J:J,A259)</f>
        <v>#NUM!</v>
      </c>
      <c r="L259" t="str">
        <f t="shared" si="34"/>
        <v/>
      </c>
      <c r="M259" t="str">
        <f t="shared" si="35"/>
        <v/>
      </c>
      <c r="N259" t="str">
        <f t="shared" ref="N259:N322" si="38">IF(ISNUMBER(K259),LOOKUP(K259,A:A,G:G),"")</f>
        <v/>
      </c>
      <c r="O259" t="str">
        <f t="shared" ref="O259:O322" si="39">IF(ISNUMBER(K259),LOOKUP(K259,A:A,F:F),"")</f>
        <v/>
      </c>
    </row>
    <row r="260" spans="1:15" x14ac:dyDescent="0.3">
      <c r="A260">
        <v>259</v>
      </c>
      <c r="B260" t="s">
        <v>410</v>
      </c>
      <c r="C260" t="s">
        <v>297</v>
      </c>
      <c r="D260" t="s">
        <v>297</v>
      </c>
      <c r="E260" t="str">
        <f t="shared" si="32"/>
        <v xml:space="preserve">ΝΟΤΙΟΥ ΑΙΓΑΙΟΥ - ΜΗΛΟΥ, </v>
      </c>
      <c r="F260" t="s">
        <v>798</v>
      </c>
      <c r="G260">
        <v>14296</v>
      </c>
      <c r="H260" t="str">
        <f t="shared" si="33"/>
        <v>ΝΑΙ</v>
      </c>
      <c r="I260" t="str">
        <f>LOOKUP(B260,ΠΕΡΙΦΕΡΕΙΑ!$A$2:$A$14,ΠΕΡΙΦΕΡΕΙΑ!$B$2:$B$14)</f>
        <v>Μερική</v>
      </c>
      <c r="J260">
        <f t="shared" si="36"/>
        <v>259</v>
      </c>
      <c r="K260" t="e">
        <f t="shared" si="37"/>
        <v>#NUM!</v>
      </c>
      <c r="L260" t="str">
        <f t="shared" si="34"/>
        <v/>
      </c>
      <c r="M260" t="str">
        <f t="shared" si="35"/>
        <v/>
      </c>
      <c r="N260" t="str">
        <f t="shared" si="38"/>
        <v/>
      </c>
      <c r="O260" t="str">
        <f t="shared" si="39"/>
        <v/>
      </c>
    </row>
    <row r="261" spans="1:15" x14ac:dyDescent="0.3">
      <c r="A261">
        <v>260</v>
      </c>
      <c r="B261" t="s">
        <v>410</v>
      </c>
      <c r="C261" t="s">
        <v>300</v>
      </c>
      <c r="D261" t="s">
        <v>300</v>
      </c>
      <c r="E261" t="str">
        <f t="shared" si="32"/>
        <v xml:space="preserve">ΝΟΤΙΟΥ ΑΙΓΑΙΟΥ - ΜΥΚΟΝΟΥ, </v>
      </c>
      <c r="F261" t="s">
        <v>799</v>
      </c>
      <c r="G261">
        <v>14306</v>
      </c>
      <c r="H261" t="str">
        <f t="shared" si="33"/>
        <v>ΝΑΙ</v>
      </c>
      <c r="I261" t="str">
        <f>LOOKUP(B261,ΠΕΡΙΦΕΡΕΙΑ!$A$2:$A$14,ΠΕΡΙΦΕΡΕΙΑ!$B$2:$B$14)</f>
        <v>Μερική</v>
      </c>
      <c r="J261">
        <f t="shared" si="36"/>
        <v>260</v>
      </c>
      <c r="K261" t="e">
        <f t="shared" si="37"/>
        <v>#NUM!</v>
      </c>
      <c r="L261" t="str">
        <f t="shared" si="34"/>
        <v/>
      </c>
      <c r="M261" t="str">
        <f t="shared" si="35"/>
        <v/>
      </c>
      <c r="N261" t="str">
        <f t="shared" si="38"/>
        <v/>
      </c>
      <c r="O261" t="str">
        <f t="shared" si="39"/>
        <v/>
      </c>
    </row>
    <row r="262" spans="1:15" x14ac:dyDescent="0.3">
      <c r="A262">
        <v>261</v>
      </c>
      <c r="B262" t="s">
        <v>410</v>
      </c>
      <c r="C262" t="s">
        <v>390</v>
      </c>
      <c r="D262" t="s">
        <v>302</v>
      </c>
      <c r="E262" t="str">
        <f t="shared" si="32"/>
        <v xml:space="preserve">ΝΟΤΙΟΥ ΑΙΓΑΙΟΥ - ΝΑΞΟΥ ΚΑΙ ΜΙΚΡΩΝ ΚΥΚΛΑΔΩΝ, </v>
      </c>
      <c r="F262" t="s">
        <v>800</v>
      </c>
      <c r="G262">
        <v>14310</v>
      </c>
      <c r="H262" t="str">
        <f t="shared" si="33"/>
        <v>ΝΑΙ</v>
      </c>
      <c r="I262" t="str">
        <f>LOOKUP(B262,ΠΕΡΙΦΕΡΕΙΑ!$A$2:$A$14,ΠΕΡΙΦΕΡΕΙΑ!$B$2:$B$14)</f>
        <v>Μερική</v>
      </c>
      <c r="J262">
        <f t="shared" si="36"/>
        <v>261</v>
      </c>
      <c r="K262" t="e">
        <f t="shared" si="37"/>
        <v>#NUM!</v>
      </c>
      <c r="L262" t="str">
        <f t="shared" si="34"/>
        <v/>
      </c>
      <c r="M262" t="str">
        <f t="shared" si="35"/>
        <v/>
      </c>
      <c r="N262" t="str">
        <f t="shared" si="38"/>
        <v/>
      </c>
      <c r="O262" t="str">
        <f t="shared" si="39"/>
        <v/>
      </c>
    </row>
    <row r="263" spans="1:15" x14ac:dyDescent="0.3">
      <c r="A263">
        <v>262</v>
      </c>
      <c r="B263" t="s">
        <v>410</v>
      </c>
      <c r="C263" t="s">
        <v>294</v>
      </c>
      <c r="D263" t="s">
        <v>295</v>
      </c>
      <c r="E263" t="str">
        <f t="shared" si="32"/>
        <v xml:space="preserve">ΝΟΤΙΟΥ ΑΙΓΑΙΟΥ - ΝΙΣΥΡΟΥ, </v>
      </c>
      <c r="F263" t="s">
        <v>801</v>
      </c>
      <c r="G263">
        <v>14328</v>
      </c>
      <c r="H263" t="str">
        <f t="shared" si="33"/>
        <v/>
      </c>
      <c r="I263" t="str">
        <f>LOOKUP(B263,ΠΕΡΙΦΕΡΕΙΑ!$A$2:$A$14,ΠΕΡΙΦΕΡΕΙΑ!$B$2:$B$14)</f>
        <v>Μερική</v>
      </c>
      <c r="J263" t="str">
        <f t="shared" si="36"/>
        <v/>
      </c>
      <c r="K263" t="e">
        <f t="shared" si="37"/>
        <v>#NUM!</v>
      </c>
      <c r="L263" t="str">
        <f t="shared" si="34"/>
        <v/>
      </c>
      <c r="M263" t="str">
        <f t="shared" si="35"/>
        <v/>
      </c>
      <c r="N263" t="str">
        <f t="shared" si="38"/>
        <v/>
      </c>
      <c r="O263" t="str">
        <f t="shared" si="39"/>
        <v/>
      </c>
    </row>
    <row r="264" spans="1:15" x14ac:dyDescent="0.3">
      <c r="A264">
        <v>263</v>
      </c>
      <c r="B264" t="s">
        <v>410</v>
      </c>
      <c r="C264" t="s">
        <v>304</v>
      </c>
      <c r="D264" t="s">
        <v>304</v>
      </c>
      <c r="E264" t="str">
        <f t="shared" si="32"/>
        <v xml:space="preserve">ΝΟΤΙΟΥ ΑΙΓΑΙΟΥ - ΠΑΡΟΥ, </v>
      </c>
      <c r="F264" t="s">
        <v>802</v>
      </c>
      <c r="G264">
        <v>14400</v>
      </c>
      <c r="H264" t="str">
        <f t="shared" si="33"/>
        <v>ΝΑΙ</v>
      </c>
      <c r="I264" t="str">
        <f>LOOKUP(B264,ΠΕΡΙΦΕΡΕΙΑ!$A$2:$A$14,ΠΕΡΙΦΕΡΕΙΑ!$B$2:$B$14)</f>
        <v>Μερική</v>
      </c>
      <c r="J264">
        <f t="shared" si="36"/>
        <v>263</v>
      </c>
      <c r="K264" t="e">
        <f t="shared" si="37"/>
        <v>#NUM!</v>
      </c>
      <c r="L264" t="str">
        <f t="shared" si="34"/>
        <v/>
      </c>
      <c r="M264" t="str">
        <f t="shared" si="35"/>
        <v/>
      </c>
      <c r="N264" t="str">
        <f t="shared" si="38"/>
        <v/>
      </c>
      <c r="O264" t="str">
        <f t="shared" si="39"/>
        <v/>
      </c>
    </row>
    <row r="265" spans="1:15" x14ac:dyDescent="0.3">
      <c r="A265">
        <v>264</v>
      </c>
      <c r="B265" t="s">
        <v>410</v>
      </c>
      <c r="C265" t="s">
        <v>388</v>
      </c>
      <c r="D265" t="s">
        <v>289</v>
      </c>
      <c r="E265" t="str">
        <f t="shared" si="32"/>
        <v xml:space="preserve">ΝΟΤΙΟΥ ΑΙΓΑΙΟΥ - ΠΑΤΜΟΥ, </v>
      </c>
      <c r="F265" t="s">
        <v>803</v>
      </c>
      <c r="G265">
        <v>14364</v>
      </c>
      <c r="H265" t="str">
        <f t="shared" si="33"/>
        <v/>
      </c>
      <c r="I265" t="str">
        <f>LOOKUP(B265,ΠΕΡΙΦΕΡΕΙΑ!$A$2:$A$14,ΠΕΡΙΦΕΡΕΙΑ!$B$2:$B$14)</f>
        <v>Μερική</v>
      </c>
      <c r="J265" t="str">
        <f t="shared" si="36"/>
        <v/>
      </c>
      <c r="K265" t="e">
        <f t="shared" si="37"/>
        <v>#NUM!</v>
      </c>
      <c r="L265" t="str">
        <f t="shared" si="34"/>
        <v/>
      </c>
      <c r="M265" t="str">
        <f t="shared" si="35"/>
        <v/>
      </c>
      <c r="N265" t="str">
        <f t="shared" si="38"/>
        <v/>
      </c>
      <c r="O265" t="str">
        <f t="shared" si="39"/>
        <v/>
      </c>
    </row>
    <row r="266" spans="1:15" x14ac:dyDescent="0.3">
      <c r="A266">
        <v>265</v>
      </c>
      <c r="B266" t="s">
        <v>410</v>
      </c>
      <c r="C266" t="s">
        <v>306</v>
      </c>
      <c r="D266" t="s">
        <v>306</v>
      </c>
      <c r="E266" t="str">
        <f t="shared" si="32"/>
        <v xml:space="preserve">ΝΟΤΙΟΥ ΑΙΓΑΙΟΥ - ΡΟΔΟΥ, </v>
      </c>
      <c r="F266" t="s">
        <v>804</v>
      </c>
      <c r="G266">
        <v>14436</v>
      </c>
      <c r="H266" t="str">
        <f t="shared" si="33"/>
        <v>ΝΑΙ</v>
      </c>
      <c r="I266" t="str">
        <f>LOOKUP(B266,ΠΕΡΙΦΕΡΕΙΑ!$A$2:$A$14,ΠΕΡΙΦΕΡΕΙΑ!$B$2:$B$14)</f>
        <v>Μερική</v>
      </c>
      <c r="J266">
        <f t="shared" si="36"/>
        <v>265</v>
      </c>
      <c r="K266" t="e">
        <f t="shared" si="37"/>
        <v>#NUM!</v>
      </c>
      <c r="L266" t="str">
        <f t="shared" si="34"/>
        <v/>
      </c>
      <c r="M266" t="str">
        <f t="shared" si="35"/>
        <v/>
      </c>
      <c r="N266" t="str">
        <f t="shared" si="38"/>
        <v/>
      </c>
      <c r="O266" t="str">
        <f t="shared" si="39"/>
        <v/>
      </c>
    </row>
    <row r="267" spans="1:15" x14ac:dyDescent="0.3">
      <c r="A267">
        <v>266</v>
      </c>
      <c r="B267" t="s">
        <v>410</v>
      </c>
      <c r="C267" t="s">
        <v>297</v>
      </c>
      <c r="D267" t="s">
        <v>298</v>
      </c>
      <c r="E267" t="str">
        <f t="shared" si="32"/>
        <v xml:space="preserve">ΝΟΤΙΟΥ ΑΙΓΑΙΟΥ - ΣΕΡΙΦΟΥ, </v>
      </c>
      <c r="F267" t="s">
        <v>805</v>
      </c>
      <c r="G267">
        <v>14450</v>
      </c>
      <c r="H267" t="str">
        <f t="shared" si="33"/>
        <v/>
      </c>
      <c r="I267" t="str">
        <f>LOOKUP(B267,ΠΕΡΙΦΕΡΕΙΑ!$A$2:$A$14,ΠΕΡΙΦΕΡΕΙΑ!$B$2:$B$14)</f>
        <v>Μερική</v>
      </c>
      <c r="J267" t="str">
        <f t="shared" si="36"/>
        <v/>
      </c>
      <c r="K267" t="e">
        <f t="shared" si="37"/>
        <v>#NUM!</v>
      </c>
      <c r="L267" t="str">
        <f t="shared" si="34"/>
        <v/>
      </c>
      <c r="M267" t="str">
        <f t="shared" si="35"/>
        <v/>
      </c>
      <c r="N267" t="str">
        <f t="shared" si="38"/>
        <v/>
      </c>
      <c r="O267" t="str">
        <f t="shared" si="39"/>
        <v/>
      </c>
    </row>
    <row r="268" spans="1:15" x14ac:dyDescent="0.3">
      <c r="A268">
        <v>267</v>
      </c>
      <c r="B268" t="s">
        <v>410</v>
      </c>
      <c r="C268" t="s">
        <v>280</v>
      </c>
      <c r="D268" t="s">
        <v>282</v>
      </c>
      <c r="E268" t="str">
        <f t="shared" si="32"/>
        <v xml:space="preserve">ΝΟΤΙΟΥ ΑΙΓΑΙΟΥ - ΣΙΚΙΝΟΥ, </v>
      </c>
      <c r="F268" t="s">
        <v>806</v>
      </c>
      <c r="G268">
        <v>14458</v>
      </c>
      <c r="H268" t="str">
        <f t="shared" si="33"/>
        <v/>
      </c>
      <c r="I268" t="str">
        <f>LOOKUP(B268,ΠΕΡΙΦΕΡΕΙΑ!$A$2:$A$14,ΠΕΡΙΦΕΡΕΙΑ!$B$2:$B$14)</f>
        <v>Μερική</v>
      </c>
      <c r="J268" t="str">
        <f t="shared" si="36"/>
        <v/>
      </c>
      <c r="K268" t="e">
        <f t="shared" si="37"/>
        <v>#NUM!</v>
      </c>
      <c r="L268" t="str">
        <f t="shared" si="34"/>
        <v/>
      </c>
      <c r="M268" t="str">
        <f t="shared" si="35"/>
        <v/>
      </c>
      <c r="N268" t="str">
        <f t="shared" si="38"/>
        <v/>
      </c>
      <c r="O268" t="str">
        <f t="shared" si="39"/>
        <v/>
      </c>
    </row>
    <row r="269" spans="1:15" x14ac:dyDescent="0.3">
      <c r="A269">
        <v>268</v>
      </c>
      <c r="B269" t="s">
        <v>410</v>
      </c>
      <c r="C269" t="s">
        <v>297</v>
      </c>
      <c r="D269" t="s">
        <v>299</v>
      </c>
      <c r="E269" t="str">
        <f t="shared" si="32"/>
        <v xml:space="preserve">ΝΟΤΙΟΥ ΑΙΓΑΙΟΥ - ΣΙΦΝΟΥ, </v>
      </c>
      <c r="F269" t="s">
        <v>807</v>
      </c>
      <c r="G269">
        <v>14464</v>
      </c>
      <c r="H269" t="str">
        <f t="shared" si="33"/>
        <v/>
      </c>
      <c r="I269" t="str">
        <f>LOOKUP(B269,ΠΕΡΙΦΕΡΕΙΑ!$A$2:$A$14,ΠΕΡΙΦΕΡΕΙΑ!$B$2:$B$14)</f>
        <v>Μερική</v>
      </c>
      <c r="J269" t="str">
        <f t="shared" si="36"/>
        <v/>
      </c>
      <c r="K269" t="e">
        <f t="shared" si="37"/>
        <v>#NUM!</v>
      </c>
      <c r="L269" t="str">
        <f t="shared" si="34"/>
        <v/>
      </c>
      <c r="M269" t="str">
        <f t="shared" si="35"/>
        <v/>
      </c>
      <c r="N269" t="str">
        <f t="shared" si="38"/>
        <v/>
      </c>
      <c r="O269" t="str">
        <f t="shared" si="39"/>
        <v/>
      </c>
    </row>
    <row r="270" spans="1:15" x14ac:dyDescent="0.3">
      <c r="A270">
        <v>269</v>
      </c>
      <c r="B270" t="s">
        <v>410</v>
      </c>
      <c r="C270" t="s">
        <v>306</v>
      </c>
      <c r="D270" t="s">
        <v>307</v>
      </c>
      <c r="E270" t="str">
        <f t="shared" si="32"/>
        <v xml:space="preserve">ΝΟΤΙΟΥ ΑΙΓΑΙΟΥ - ΣΥΜΗΣ, </v>
      </c>
      <c r="F270" t="s">
        <v>808</v>
      </c>
      <c r="G270">
        <v>14486</v>
      </c>
      <c r="H270" t="str">
        <f t="shared" si="33"/>
        <v/>
      </c>
      <c r="I270" t="str">
        <f>LOOKUP(B270,ΠΕΡΙΦΕΡΕΙΑ!$A$2:$A$14,ΠΕΡΙΦΕΡΕΙΑ!$B$2:$B$14)</f>
        <v>Μερική</v>
      </c>
      <c r="J270" t="str">
        <f t="shared" si="36"/>
        <v/>
      </c>
      <c r="K270" t="e">
        <f t="shared" si="37"/>
        <v>#NUM!</v>
      </c>
      <c r="L270" t="str">
        <f t="shared" si="34"/>
        <v/>
      </c>
      <c r="M270" t="str">
        <f t="shared" si="35"/>
        <v/>
      </c>
      <c r="N270" t="str">
        <f t="shared" si="38"/>
        <v/>
      </c>
      <c r="O270" t="str">
        <f t="shared" si="39"/>
        <v/>
      </c>
    </row>
    <row r="271" spans="1:15" x14ac:dyDescent="0.3">
      <c r="A271">
        <v>270</v>
      </c>
      <c r="B271" t="s">
        <v>410</v>
      </c>
      <c r="C271" t="s">
        <v>391</v>
      </c>
      <c r="D271" t="s">
        <v>310</v>
      </c>
      <c r="E271" t="str">
        <f t="shared" si="32"/>
        <v xml:space="preserve">ΝΟΤΙΟΥ ΑΙΓΑΙΟΥ - ΣΥΡΟΥ – ΕΡΜΟΥΠΟΛΗΣ, </v>
      </c>
      <c r="F271" t="s">
        <v>809</v>
      </c>
      <c r="G271">
        <v>14488</v>
      </c>
      <c r="H271" t="str">
        <f t="shared" si="33"/>
        <v>ΝΑΙ</v>
      </c>
      <c r="I271" t="str">
        <f>LOOKUP(B271,ΠΕΡΙΦΕΡΕΙΑ!$A$2:$A$14,ΠΕΡΙΦΕΡΕΙΑ!$B$2:$B$14)</f>
        <v>Μερική</v>
      </c>
      <c r="J271">
        <f t="shared" si="36"/>
        <v>270</v>
      </c>
      <c r="K271" t="e">
        <f t="shared" si="37"/>
        <v>#NUM!</v>
      </c>
      <c r="L271" t="str">
        <f t="shared" si="34"/>
        <v/>
      </c>
      <c r="M271" t="str">
        <f t="shared" si="35"/>
        <v/>
      </c>
      <c r="N271" t="str">
        <f t="shared" si="38"/>
        <v/>
      </c>
      <c r="O271" t="str">
        <f t="shared" si="39"/>
        <v/>
      </c>
    </row>
    <row r="272" spans="1:15" x14ac:dyDescent="0.3">
      <c r="A272">
        <v>271</v>
      </c>
      <c r="B272" t="s">
        <v>410</v>
      </c>
      <c r="C272" t="s">
        <v>306</v>
      </c>
      <c r="D272" t="s">
        <v>308</v>
      </c>
      <c r="E272" t="str">
        <f t="shared" si="32"/>
        <v xml:space="preserve">ΝΟΤΙΟΥ ΑΙΓΑΙΟΥ - ΤΗΛΟΥ, </v>
      </c>
      <c r="F272" t="s">
        <v>810</v>
      </c>
      <c r="G272">
        <v>14496</v>
      </c>
      <c r="H272" t="str">
        <f t="shared" si="33"/>
        <v/>
      </c>
      <c r="I272" t="str">
        <f>LOOKUP(B272,ΠΕΡΙΦΕΡΕΙΑ!$A$2:$A$14,ΠΕΡΙΦΕΡΕΙΑ!$B$2:$B$14)</f>
        <v>Μερική</v>
      </c>
      <c r="J272" t="str">
        <f t="shared" si="36"/>
        <v/>
      </c>
      <c r="K272" t="e">
        <f t="shared" si="37"/>
        <v>#NUM!</v>
      </c>
      <c r="L272" t="str">
        <f t="shared" si="34"/>
        <v/>
      </c>
      <c r="M272" t="str">
        <f t="shared" si="35"/>
        <v/>
      </c>
      <c r="N272" t="str">
        <f t="shared" si="38"/>
        <v/>
      </c>
      <c r="O272" t="str">
        <f t="shared" si="39"/>
        <v/>
      </c>
    </row>
    <row r="273" spans="1:15" x14ac:dyDescent="0.3">
      <c r="A273">
        <v>272</v>
      </c>
      <c r="B273" t="s">
        <v>410</v>
      </c>
      <c r="C273" t="s">
        <v>311</v>
      </c>
      <c r="D273" t="s">
        <v>311</v>
      </c>
      <c r="E273" t="str">
        <f t="shared" si="32"/>
        <v xml:space="preserve">ΝΟΤΙΟΥ ΑΙΓΑΙΟΥ - ΤΗΝΟΥ, </v>
      </c>
      <c r="F273" t="s">
        <v>811</v>
      </c>
      <c r="G273">
        <v>14498</v>
      </c>
      <c r="H273" t="str">
        <f t="shared" si="33"/>
        <v>ΝΑΙ</v>
      </c>
      <c r="I273" t="str">
        <f>LOOKUP(B273,ΠΕΡΙΦΕΡΕΙΑ!$A$2:$A$14,ΠΕΡΙΦΕΡΕΙΑ!$B$2:$B$14)</f>
        <v>Μερική</v>
      </c>
      <c r="J273">
        <f t="shared" si="36"/>
        <v>272</v>
      </c>
      <c r="K273" t="e">
        <f t="shared" si="37"/>
        <v>#NUM!</v>
      </c>
      <c r="L273" t="str">
        <f t="shared" si="34"/>
        <v/>
      </c>
      <c r="M273" t="str">
        <f t="shared" si="35"/>
        <v/>
      </c>
      <c r="N273" t="str">
        <f t="shared" si="38"/>
        <v/>
      </c>
      <c r="O273" t="str">
        <f t="shared" si="39"/>
        <v/>
      </c>
    </row>
    <row r="274" spans="1:15" x14ac:dyDescent="0.3">
      <c r="A274">
        <v>273</v>
      </c>
      <c r="B274" t="s">
        <v>410</v>
      </c>
      <c r="C274" t="s">
        <v>280</v>
      </c>
      <c r="D274" t="s">
        <v>283</v>
      </c>
      <c r="E274" t="str">
        <f t="shared" si="32"/>
        <v xml:space="preserve">ΝΟΤΙΟΥ ΑΙΓΑΙΟΥ - ΦΟΛΕΓΑΝΔΡΟΥ, </v>
      </c>
      <c r="F274" t="s">
        <v>812</v>
      </c>
      <c r="G274">
        <v>14522</v>
      </c>
      <c r="H274" t="str">
        <f t="shared" si="33"/>
        <v/>
      </c>
      <c r="I274" t="str">
        <f>LOOKUP(B274,ΠΕΡΙΦΕΡΕΙΑ!$A$2:$A$14,ΠΕΡΙΦΕΡΕΙΑ!$B$2:$B$14)</f>
        <v>Μερική</v>
      </c>
      <c r="J274" t="str">
        <f t="shared" si="36"/>
        <v/>
      </c>
      <c r="K274" t="e">
        <f t="shared" si="37"/>
        <v>#NUM!</v>
      </c>
      <c r="L274" t="str">
        <f t="shared" si="34"/>
        <v/>
      </c>
      <c r="M274" t="str">
        <f t="shared" si="35"/>
        <v/>
      </c>
      <c r="N274" t="str">
        <f t="shared" si="38"/>
        <v/>
      </c>
      <c r="O274" t="str">
        <f t="shared" si="39"/>
        <v/>
      </c>
    </row>
    <row r="275" spans="1:15" x14ac:dyDescent="0.3">
      <c r="A275">
        <v>274</v>
      </c>
      <c r="B275" t="s">
        <v>410</v>
      </c>
      <c r="C275" t="s">
        <v>306</v>
      </c>
      <c r="D275" t="s">
        <v>309</v>
      </c>
      <c r="E275" t="str">
        <f t="shared" si="32"/>
        <v xml:space="preserve">ΝΟΤΙΟΥ ΑΙΓΑΙΟΥ - ΧΑΛΚΗΣ, </v>
      </c>
      <c r="F275" t="s">
        <v>813</v>
      </c>
      <c r="G275">
        <v>14536</v>
      </c>
      <c r="H275" t="str">
        <f t="shared" si="33"/>
        <v/>
      </c>
      <c r="I275" t="str">
        <f>LOOKUP(B275,ΠΕΡΙΦΕΡΕΙΑ!$A$2:$A$14,ΠΕΡΙΦΕΡΕΙΑ!$B$2:$B$14)</f>
        <v>Μερική</v>
      </c>
      <c r="J275" t="str">
        <f t="shared" si="36"/>
        <v/>
      </c>
      <c r="K275" t="e">
        <f t="shared" si="37"/>
        <v>#NUM!</v>
      </c>
      <c r="L275" t="str">
        <f t="shared" si="34"/>
        <v/>
      </c>
      <c r="M275" t="str">
        <f t="shared" si="35"/>
        <v/>
      </c>
      <c r="N275" t="str">
        <f t="shared" si="38"/>
        <v/>
      </c>
      <c r="O275" t="str">
        <f t="shared" si="39"/>
        <v/>
      </c>
    </row>
    <row r="276" spans="1:15" x14ac:dyDescent="0.3">
      <c r="A276">
        <v>275</v>
      </c>
      <c r="B276" t="s">
        <v>411</v>
      </c>
      <c r="C276" t="s">
        <v>395</v>
      </c>
      <c r="D276" t="s">
        <v>327</v>
      </c>
      <c r="E276" t="str">
        <f t="shared" si="32"/>
        <v xml:space="preserve">ΠΕΛΟΠΟΝΝΗΣΟΥ - ΑΝΑΤΟΛΙΚΗΣ ΜΑΝΗΣ, </v>
      </c>
      <c r="F276" t="s">
        <v>814</v>
      </c>
      <c r="G276">
        <v>13980</v>
      </c>
      <c r="H276" t="str">
        <f t="shared" si="33"/>
        <v/>
      </c>
      <c r="I276" t="str">
        <f>LOOKUP(B276,ΠΕΡΙΦΕΡΕΙΑ!$A$2:$A$14,ΠΕΡΙΦΕΡΕΙΑ!$B$2:$B$14)</f>
        <v>Μερική</v>
      </c>
      <c r="J276" t="str">
        <f t="shared" si="36"/>
        <v/>
      </c>
      <c r="K276" t="e">
        <f t="shared" si="37"/>
        <v>#NUM!</v>
      </c>
      <c r="L276" t="str">
        <f t="shared" si="34"/>
        <v/>
      </c>
      <c r="M276" t="str">
        <f t="shared" si="35"/>
        <v/>
      </c>
      <c r="N276" t="str">
        <f t="shared" si="38"/>
        <v/>
      </c>
      <c r="O276" t="str">
        <f t="shared" si="39"/>
        <v/>
      </c>
    </row>
    <row r="277" spans="1:15" x14ac:dyDescent="0.3">
      <c r="A277">
        <v>276</v>
      </c>
      <c r="B277" t="s">
        <v>411</v>
      </c>
      <c r="C277" t="s">
        <v>392</v>
      </c>
      <c r="D277" t="s">
        <v>312</v>
      </c>
      <c r="E277" t="str">
        <f t="shared" si="32"/>
        <v xml:space="preserve">ΠΕΛΟΠΟΝΝΗΣΟΥ - ΑΡΓΟΥΣ – ΜΥΚΗΝΩΝ, </v>
      </c>
      <c r="F277" t="s">
        <v>815</v>
      </c>
      <c r="G277">
        <v>13994</v>
      </c>
      <c r="H277" t="str">
        <f t="shared" si="33"/>
        <v>ΝΑΙ</v>
      </c>
      <c r="I277" t="str">
        <f>LOOKUP(B277,ΠΕΡΙΦΕΡΕΙΑ!$A$2:$A$14,ΠΕΡΙΦΕΡΕΙΑ!$B$2:$B$14)</f>
        <v>Μερική</v>
      </c>
      <c r="J277">
        <f t="shared" si="36"/>
        <v>276</v>
      </c>
      <c r="K277" t="e">
        <f t="shared" si="37"/>
        <v>#NUM!</v>
      </c>
      <c r="L277" t="str">
        <f t="shared" si="34"/>
        <v/>
      </c>
      <c r="M277" t="str">
        <f t="shared" si="35"/>
        <v/>
      </c>
      <c r="N277" t="str">
        <f t="shared" si="38"/>
        <v/>
      </c>
      <c r="O277" t="str">
        <f t="shared" si="39"/>
        <v/>
      </c>
    </row>
    <row r="278" spans="1:15" x14ac:dyDescent="0.3">
      <c r="A278">
        <v>277</v>
      </c>
      <c r="B278" t="s">
        <v>411</v>
      </c>
      <c r="C278" t="s">
        <v>394</v>
      </c>
      <c r="D278" t="s">
        <v>321</v>
      </c>
      <c r="E278" t="str">
        <f t="shared" si="32"/>
        <v xml:space="preserve">ΠΕΛΟΠΟΝΝΗΣΟΥ - ΒΕΛΟΥ – ΒΟΧΑΣ, </v>
      </c>
      <c r="F278" t="s">
        <v>816</v>
      </c>
      <c r="G278">
        <v>14012</v>
      </c>
      <c r="H278" t="str">
        <f t="shared" si="33"/>
        <v>ΝΑΙ</v>
      </c>
      <c r="I278" t="str">
        <f>LOOKUP(B278,ΠΕΡΙΦΕΡΕΙΑ!$A$2:$A$14,ΠΕΡΙΦΕΡΕΙΑ!$B$2:$B$14)</f>
        <v>Μερική</v>
      </c>
      <c r="J278">
        <f t="shared" si="36"/>
        <v>277</v>
      </c>
      <c r="K278" t="e">
        <f t="shared" si="37"/>
        <v>#NUM!</v>
      </c>
      <c r="L278" t="str">
        <f t="shared" si="34"/>
        <v/>
      </c>
      <c r="M278" t="str">
        <f t="shared" si="35"/>
        <v/>
      </c>
      <c r="N278" t="str">
        <f t="shared" si="38"/>
        <v/>
      </c>
      <c r="O278" t="str">
        <f t="shared" si="39"/>
        <v/>
      </c>
    </row>
    <row r="279" spans="1:15" x14ac:dyDescent="0.3">
      <c r="A279">
        <v>278</v>
      </c>
      <c r="B279" t="s">
        <v>411</v>
      </c>
      <c r="C279" t="s">
        <v>393</v>
      </c>
      <c r="D279" t="s">
        <v>316</v>
      </c>
      <c r="E279" t="str">
        <f t="shared" si="32"/>
        <v xml:space="preserve">ΠΕΛΟΠΟΝΝΗΣΟΥ - ΒΟΡΕΙΑΣ ΚΥΝΟΥΡΙΑΣ, </v>
      </c>
      <c r="F279" t="s">
        <v>817</v>
      </c>
      <c r="G279">
        <v>14020</v>
      </c>
      <c r="H279" t="str">
        <f t="shared" si="33"/>
        <v>ΝΑΙ</v>
      </c>
      <c r="I279" t="str">
        <f>LOOKUP(B279,ΠΕΡΙΦΕΡΕΙΑ!$A$2:$A$14,ΠΕΡΙΦΕΡΕΙΑ!$B$2:$B$14)</f>
        <v>Μερική</v>
      </c>
      <c r="J279">
        <f t="shared" si="36"/>
        <v>278</v>
      </c>
      <c r="K279" t="e">
        <f t="shared" si="37"/>
        <v>#NUM!</v>
      </c>
      <c r="L279" t="str">
        <f t="shared" si="34"/>
        <v/>
      </c>
      <c r="M279" t="str">
        <f t="shared" si="35"/>
        <v/>
      </c>
      <c r="N279" t="str">
        <f t="shared" si="38"/>
        <v/>
      </c>
      <c r="O279" t="str">
        <f t="shared" si="39"/>
        <v/>
      </c>
    </row>
    <row r="280" spans="1:15" x14ac:dyDescent="0.3">
      <c r="A280">
        <v>279</v>
      </c>
      <c r="B280" t="s">
        <v>411</v>
      </c>
      <c r="C280" t="s">
        <v>393</v>
      </c>
      <c r="D280" t="s">
        <v>317</v>
      </c>
      <c r="E280" t="str">
        <f t="shared" si="32"/>
        <v xml:space="preserve">ΠΕΛΟΠΟΝΝΗΣΟΥ - ΓΟΡΤΥΝΙΑΣ, </v>
      </c>
      <c r="F280" t="s">
        <v>818</v>
      </c>
      <c r="G280">
        <v>14046</v>
      </c>
      <c r="H280" t="str">
        <f t="shared" si="33"/>
        <v/>
      </c>
      <c r="I280" t="str">
        <f>LOOKUP(B280,ΠΕΡΙΦΕΡΕΙΑ!$A$2:$A$14,ΠΕΡΙΦΕΡΕΙΑ!$B$2:$B$14)</f>
        <v>Μερική</v>
      </c>
      <c r="J280" t="str">
        <f t="shared" si="36"/>
        <v/>
      </c>
      <c r="K280" t="e">
        <f t="shared" si="37"/>
        <v>#NUM!</v>
      </c>
      <c r="L280" t="str">
        <f t="shared" si="34"/>
        <v/>
      </c>
      <c r="M280" t="str">
        <f t="shared" si="35"/>
        <v/>
      </c>
      <c r="N280" t="str">
        <f t="shared" si="38"/>
        <v/>
      </c>
      <c r="O280" t="str">
        <f t="shared" si="39"/>
        <v/>
      </c>
    </row>
    <row r="281" spans="1:15" x14ac:dyDescent="0.3">
      <c r="A281">
        <v>280</v>
      </c>
      <c r="B281" t="s">
        <v>411</v>
      </c>
      <c r="C281" t="s">
        <v>396</v>
      </c>
      <c r="D281" t="s">
        <v>332</v>
      </c>
      <c r="E281" t="str">
        <f t="shared" si="32"/>
        <v xml:space="preserve">ΠΕΛΟΠΟΝΝΗΣΟΥ - ΔΥΤΙΚΗΣ ΜΑΝΗΣ, </v>
      </c>
      <c r="F281" t="s">
        <v>819</v>
      </c>
      <c r="G281">
        <v>14074</v>
      </c>
      <c r="H281" t="str">
        <f t="shared" si="33"/>
        <v>ΝΑΙ</v>
      </c>
      <c r="I281" t="str">
        <f>LOOKUP(B281,ΠΕΡΙΦΕΡΕΙΑ!$A$2:$A$14,ΠΕΡΙΦΕΡΕΙΑ!$B$2:$B$14)</f>
        <v>Μερική</v>
      </c>
      <c r="J281">
        <f t="shared" si="36"/>
        <v>280</v>
      </c>
      <c r="K281" t="e">
        <f t="shared" si="37"/>
        <v>#NUM!</v>
      </c>
      <c r="L281" t="str">
        <f t="shared" si="34"/>
        <v/>
      </c>
      <c r="M281" t="str">
        <f t="shared" si="35"/>
        <v/>
      </c>
      <c r="N281" t="str">
        <f t="shared" si="38"/>
        <v/>
      </c>
      <c r="O281" t="str">
        <f t="shared" si="39"/>
        <v/>
      </c>
    </row>
    <row r="282" spans="1:15" x14ac:dyDescent="0.3">
      <c r="A282">
        <v>281</v>
      </c>
      <c r="B282" t="s">
        <v>411</v>
      </c>
      <c r="C282" t="s">
        <v>395</v>
      </c>
      <c r="D282" t="s">
        <v>328</v>
      </c>
      <c r="E282" t="str">
        <f t="shared" si="32"/>
        <v xml:space="preserve">ΠΕΛΟΠΟΝΝΗΣΟΥ - ΕΛΑΦΟΝΗΣΟΥ, </v>
      </c>
      <c r="F282" t="s">
        <v>820</v>
      </c>
      <c r="G282">
        <v>13912</v>
      </c>
      <c r="H282" t="str">
        <f t="shared" si="33"/>
        <v/>
      </c>
      <c r="I282" t="str">
        <f>LOOKUP(B282,ΠΕΡΙΦΕΡΕΙΑ!$A$2:$A$14,ΠΕΡΙΦΕΡΕΙΑ!$B$2:$B$14)</f>
        <v>Μερική</v>
      </c>
      <c r="J282" t="str">
        <f t="shared" si="36"/>
        <v/>
      </c>
      <c r="K282" t="e">
        <f t="shared" si="37"/>
        <v>#NUM!</v>
      </c>
      <c r="L282" t="str">
        <f t="shared" si="34"/>
        <v/>
      </c>
      <c r="M282" t="str">
        <f t="shared" si="35"/>
        <v/>
      </c>
      <c r="N282" t="str">
        <f t="shared" si="38"/>
        <v/>
      </c>
      <c r="O282" t="str">
        <f t="shared" si="39"/>
        <v/>
      </c>
    </row>
    <row r="283" spans="1:15" x14ac:dyDescent="0.3">
      <c r="A283">
        <v>282</v>
      </c>
      <c r="B283" t="s">
        <v>411</v>
      </c>
      <c r="C283" t="s">
        <v>392</v>
      </c>
      <c r="D283" t="s">
        <v>313</v>
      </c>
      <c r="E283" t="str">
        <f t="shared" si="32"/>
        <v xml:space="preserve">ΠΕΛΟΠΟΝΝΗΣΟΥ - ΕΠΙΔΑΥΡΟΥ, </v>
      </c>
      <c r="F283" t="s">
        <v>821</v>
      </c>
      <c r="G283">
        <v>14092</v>
      </c>
      <c r="H283" t="str">
        <f t="shared" si="33"/>
        <v/>
      </c>
      <c r="I283" t="str">
        <f>LOOKUP(B283,ΠΕΡΙΦΕΡΕΙΑ!$A$2:$A$14,ΠΕΡΙΦΕΡΕΙΑ!$B$2:$B$14)</f>
        <v>Μερική</v>
      </c>
      <c r="J283" t="str">
        <f t="shared" si="36"/>
        <v/>
      </c>
      <c r="K283" t="e">
        <f t="shared" si="37"/>
        <v>#NUM!</v>
      </c>
      <c r="L283" t="str">
        <f t="shared" si="34"/>
        <v/>
      </c>
      <c r="M283" t="str">
        <f t="shared" si="35"/>
        <v/>
      </c>
      <c r="N283" t="str">
        <f t="shared" si="38"/>
        <v/>
      </c>
      <c r="O283" t="str">
        <f t="shared" si="39"/>
        <v/>
      </c>
    </row>
    <row r="284" spans="1:15" x14ac:dyDescent="0.3">
      <c r="A284">
        <v>283</v>
      </c>
      <c r="B284" t="s">
        <v>411</v>
      </c>
      <c r="C284" t="s">
        <v>392</v>
      </c>
      <c r="D284" t="s">
        <v>314</v>
      </c>
      <c r="E284" t="str">
        <f t="shared" si="32"/>
        <v xml:space="preserve">ΠΕΛΟΠΟΝΝΗΣΟΥ - ΕΡΜΙΟΝΙΔΑΣ, </v>
      </c>
      <c r="F284" t="s">
        <v>822</v>
      </c>
      <c r="G284">
        <v>14096</v>
      </c>
      <c r="H284" t="str">
        <f t="shared" si="33"/>
        <v>ΝΑΙ</v>
      </c>
      <c r="I284" t="str">
        <f>LOOKUP(B284,ΠΕΡΙΦΕΡΕΙΑ!$A$2:$A$14,ΠΕΡΙΦΕΡΕΙΑ!$B$2:$B$14)</f>
        <v>Μερική</v>
      </c>
      <c r="J284">
        <f t="shared" si="36"/>
        <v>283</v>
      </c>
      <c r="K284" t="e">
        <f t="shared" si="37"/>
        <v>#NUM!</v>
      </c>
      <c r="L284" t="str">
        <f t="shared" si="34"/>
        <v/>
      </c>
      <c r="M284" t="str">
        <f t="shared" si="35"/>
        <v/>
      </c>
      <c r="N284" t="str">
        <f t="shared" si="38"/>
        <v/>
      </c>
      <c r="O284" t="str">
        <f t="shared" si="39"/>
        <v/>
      </c>
    </row>
    <row r="285" spans="1:15" x14ac:dyDescent="0.3">
      <c r="A285">
        <v>284</v>
      </c>
      <c r="B285" t="s">
        <v>411</v>
      </c>
      <c r="C285" t="s">
        <v>395</v>
      </c>
      <c r="D285" t="s">
        <v>329</v>
      </c>
      <c r="E285" t="str">
        <f t="shared" si="32"/>
        <v xml:space="preserve">ΠΕΛΟΠΟΝΝΗΣΟΥ - ΕΥΡΩΤΑ, </v>
      </c>
      <c r="F285" t="s">
        <v>823</v>
      </c>
      <c r="G285">
        <v>14100</v>
      </c>
      <c r="H285" t="str">
        <f t="shared" si="33"/>
        <v>ΝΑΙ</v>
      </c>
      <c r="I285" t="str">
        <f>LOOKUP(B285,ΠΕΡΙΦΕΡΕΙΑ!$A$2:$A$14,ΠΕΡΙΦΕΡΕΙΑ!$B$2:$B$14)</f>
        <v>Μερική</v>
      </c>
      <c r="J285">
        <f t="shared" si="36"/>
        <v>284</v>
      </c>
      <c r="K285" t="e">
        <f t="shared" si="37"/>
        <v>#NUM!</v>
      </c>
      <c r="L285" t="str">
        <f t="shared" si="34"/>
        <v/>
      </c>
      <c r="M285" t="str">
        <f t="shared" si="35"/>
        <v/>
      </c>
      <c r="N285" t="str">
        <f t="shared" si="38"/>
        <v/>
      </c>
      <c r="O285" t="str">
        <f t="shared" si="39"/>
        <v/>
      </c>
    </row>
    <row r="286" spans="1:15" x14ac:dyDescent="0.3">
      <c r="A286">
        <v>285</v>
      </c>
      <c r="B286" t="s">
        <v>411</v>
      </c>
      <c r="C286" t="s">
        <v>396</v>
      </c>
      <c r="D286" t="s">
        <v>333</v>
      </c>
      <c r="E286" t="str">
        <f t="shared" si="32"/>
        <v xml:space="preserve">ΠΕΛΟΠΟΝΝΗΣΟΥ - ΚΑΛΑΜΑΤΑΣ, </v>
      </c>
      <c r="F286" t="s">
        <v>824</v>
      </c>
      <c r="G286">
        <v>14178</v>
      </c>
      <c r="H286" t="str">
        <f t="shared" si="33"/>
        <v>ΝΑΙ</v>
      </c>
      <c r="I286" t="str">
        <f>LOOKUP(B286,ΠΕΡΙΦΕΡΕΙΑ!$A$2:$A$14,ΠΕΡΙΦΕΡΕΙΑ!$B$2:$B$14)</f>
        <v>Μερική</v>
      </c>
      <c r="J286">
        <f t="shared" si="36"/>
        <v>285</v>
      </c>
      <c r="K286" t="e">
        <f t="shared" si="37"/>
        <v>#NUM!</v>
      </c>
      <c r="L286" t="str">
        <f t="shared" si="34"/>
        <v/>
      </c>
      <c r="M286" t="str">
        <f t="shared" si="35"/>
        <v/>
      </c>
      <c r="N286" t="str">
        <f t="shared" si="38"/>
        <v/>
      </c>
      <c r="O286" t="str">
        <f t="shared" si="39"/>
        <v/>
      </c>
    </row>
    <row r="287" spans="1:15" x14ac:dyDescent="0.3">
      <c r="A287">
        <v>286</v>
      </c>
      <c r="B287" t="s">
        <v>411</v>
      </c>
      <c r="C287" t="s">
        <v>394</v>
      </c>
      <c r="D287" t="s">
        <v>322</v>
      </c>
      <c r="E287" t="str">
        <f t="shared" si="32"/>
        <v xml:space="preserve">ΠΕΛΟΠΟΝΝΗΣΟΥ - ΚΟΡΙΝΘΙΩΝ, </v>
      </c>
      <c r="F287" t="s">
        <v>825</v>
      </c>
      <c r="G287">
        <v>14168</v>
      </c>
      <c r="H287" t="str">
        <f t="shared" si="33"/>
        <v>ΝΑΙ</v>
      </c>
      <c r="I287" t="str">
        <f>LOOKUP(B287,ΠΕΡΙΦΕΡΕΙΑ!$A$2:$A$14,ΠΕΡΙΦΕΡΕΙΑ!$B$2:$B$14)</f>
        <v>Μερική</v>
      </c>
      <c r="J287">
        <f t="shared" si="36"/>
        <v>286</v>
      </c>
      <c r="K287" t="e">
        <f t="shared" si="37"/>
        <v>#NUM!</v>
      </c>
      <c r="L287" t="str">
        <f t="shared" si="34"/>
        <v/>
      </c>
      <c r="M287" t="str">
        <f t="shared" si="35"/>
        <v/>
      </c>
      <c r="N287" t="str">
        <f t="shared" si="38"/>
        <v/>
      </c>
      <c r="O287" t="str">
        <f t="shared" si="39"/>
        <v/>
      </c>
    </row>
    <row r="288" spans="1:15" x14ac:dyDescent="0.3">
      <c r="A288">
        <v>287</v>
      </c>
      <c r="B288" t="s">
        <v>411</v>
      </c>
      <c r="C288" t="s">
        <v>394</v>
      </c>
      <c r="D288" t="s">
        <v>323</v>
      </c>
      <c r="E288" t="str">
        <f t="shared" si="32"/>
        <v xml:space="preserve">ΠΕΛΟΠΟΝΝΗΣΟΥ - ΛΟΥΤΡΑΚΙΟΥ – ΑΓΙΩΝ ΘΕΟΔΩΡΩΝ, </v>
      </c>
      <c r="F288" t="s">
        <v>826</v>
      </c>
      <c r="G288">
        <v>14244</v>
      </c>
      <c r="H288" t="str">
        <f t="shared" si="33"/>
        <v>ΝΑΙ</v>
      </c>
      <c r="I288" t="str">
        <f>LOOKUP(B288,ΠΕΡΙΦΕΡΕΙΑ!$A$2:$A$14,ΠΕΡΙΦΕΡΕΙΑ!$B$2:$B$14)</f>
        <v>Μερική</v>
      </c>
      <c r="J288">
        <f t="shared" si="36"/>
        <v>287</v>
      </c>
      <c r="K288" t="e">
        <f t="shared" si="37"/>
        <v>#NUM!</v>
      </c>
      <c r="L288" t="str">
        <f t="shared" si="34"/>
        <v/>
      </c>
      <c r="M288" t="str">
        <f t="shared" si="35"/>
        <v/>
      </c>
      <c r="N288" t="str">
        <f t="shared" si="38"/>
        <v/>
      </c>
      <c r="O288" t="str">
        <f t="shared" si="39"/>
        <v/>
      </c>
    </row>
    <row r="289" spans="1:15" x14ac:dyDescent="0.3">
      <c r="A289">
        <v>288</v>
      </c>
      <c r="B289" t="s">
        <v>411</v>
      </c>
      <c r="C289" t="s">
        <v>393</v>
      </c>
      <c r="D289" t="s">
        <v>318</v>
      </c>
      <c r="E289" t="str">
        <f t="shared" si="32"/>
        <v xml:space="preserve">ΠΕΛΟΠΟΝΝΗΣΟΥ - ΜΕΓΑΛΟΠΟΛΗΣ, </v>
      </c>
      <c r="F289" t="s">
        <v>827</v>
      </c>
      <c r="G289">
        <v>14282</v>
      </c>
      <c r="H289" t="str">
        <f t="shared" si="33"/>
        <v>ΝΑΙ</v>
      </c>
      <c r="I289" t="str">
        <f>LOOKUP(B289,ΠΕΡΙΦΕΡΕΙΑ!$A$2:$A$14,ΠΕΡΙΦΕΡΕΙΑ!$B$2:$B$14)</f>
        <v>Μερική</v>
      </c>
      <c r="J289">
        <f t="shared" si="36"/>
        <v>288</v>
      </c>
      <c r="K289" t="e">
        <f t="shared" si="37"/>
        <v>#NUM!</v>
      </c>
      <c r="L289" t="str">
        <f t="shared" si="34"/>
        <v/>
      </c>
      <c r="M289" t="str">
        <f t="shared" si="35"/>
        <v/>
      </c>
      <c r="N289" t="str">
        <f t="shared" si="38"/>
        <v/>
      </c>
      <c r="O289" t="str">
        <f t="shared" si="39"/>
        <v/>
      </c>
    </row>
    <row r="290" spans="1:15" x14ac:dyDescent="0.3">
      <c r="A290">
        <v>289</v>
      </c>
      <c r="B290" t="s">
        <v>411</v>
      </c>
      <c r="C290" t="s">
        <v>396</v>
      </c>
      <c r="D290" t="s">
        <v>334</v>
      </c>
      <c r="E290" t="str">
        <f t="shared" si="32"/>
        <v xml:space="preserve">ΠΕΛΟΠΟΝΝΗΣΟΥ - ΜΕΣΣΗΝΗΣ, </v>
      </c>
      <c r="F290" t="s">
        <v>828</v>
      </c>
      <c r="G290">
        <v>14292</v>
      </c>
      <c r="H290" t="str">
        <f t="shared" si="33"/>
        <v>ΝΑΙ</v>
      </c>
      <c r="I290" t="str">
        <f>LOOKUP(B290,ΠΕΡΙΦΕΡΕΙΑ!$A$2:$A$14,ΠΕΡΙΦΕΡΕΙΑ!$B$2:$B$14)</f>
        <v>Μερική</v>
      </c>
      <c r="J290">
        <f t="shared" si="36"/>
        <v>289</v>
      </c>
      <c r="K290" t="e">
        <f t="shared" si="37"/>
        <v>#NUM!</v>
      </c>
      <c r="L290" t="str">
        <f t="shared" si="34"/>
        <v/>
      </c>
      <c r="M290" t="str">
        <f t="shared" si="35"/>
        <v/>
      </c>
      <c r="N290" t="str">
        <f t="shared" si="38"/>
        <v/>
      </c>
      <c r="O290" t="str">
        <f t="shared" si="39"/>
        <v/>
      </c>
    </row>
    <row r="291" spans="1:15" x14ac:dyDescent="0.3">
      <c r="A291">
        <v>290</v>
      </c>
      <c r="B291" t="s">
        <v>411</v>
      </c>
      <c r="C291" t="s">
        <v>395</v>
      </c>
      <c r="D291" t="s">
        <v>330</v>
      </c>
      <c r="E291" t="str">
        <f t="shared" si="32"/>
        <v xml:space="preserve">ΠΕΛΟΠΟΝΝΗΣΟΥ - ΜΟΝΕΜΒΑΣΙΑΣ, </v>
      </c>
      <c r="F291" t="s">
        <v>829</v>
      </c>
      <c r="G291">
        <v>14268</v>
      </c>
      <c r="H291" t="str">
        <f t="shared" si="33"/>
        <v>ΝΑΙ</v>
      </c>
      <c r="I291" t="str">
        <f>LOOKUP(B291,ΠΕΡΙΦΕΡΕΙΑ!$A$2:$A$14,ΠΕΡΙΦΕΡΕΙΑ!$B$2:$B$14)</f>
        <v>Μερική</v>
      </c>
      <c r="J291">
        <f t="shared" si="36"/>
        <v>290</v>
      </c>
      <c r="K291" t="e">
        <f t="shared" si="37"/>
        <v>#NUM!</v>
      </c>
      <c r="L291" t="str">
        <f t="shared" si="34"/>
        <v/>
      </c>
      <c r="M291" t="str">
        <f t="shared" si="35"/>
        <v/>
      </c>
      <c r="N291" t="str">
        <f t="shared" si="38"/>
        <v/>
      </c>
      <c r="O291" t="str">
        <f t="shared" si="39"/>
        <v/>
      </c>
    </row>
    <row r="292" spans="1:15" x14ac:dyDescent="0.3">
      <c r="A292">
        <v>291</v>
      </c>
      <c r="B292" t="s">
        <v>411</v>
      </c>
      <c r="C292" t="s">
        <v>392</v>
      </c>
      <c r="D292" t="s">
        <v>315</v>
      </c>
      <c r="E292" t="str">
        <f t="shared" si="32"/>
        <v xml:space="preserve">ΠΕΛΟΠΟΝΝΗΣΟΥ - ΝΑΥΠΛΙΕΩΝ, </v>
      </c>
      <c r="F292" t="s">
        <v>830</v>
      </c>
      <c r="G292">
        <v>14314</v>
      </c>
      <c r="H292" t="str">
        <f t="shared" si="33"/>
        <v>ΝΑΙ</v>
      </c>
      <c r="I292" t="str">
        <f>LOOKUP(B292,ΠΕΡΙΦΕΡΕΙΑ!$A$2:$A$14,ΠΕΡΙΦΕΡΕΙΑ!$B$2:$B$14)</f>
        <v>Μερική</v>
      </c>
      <c r="J292">
        <f t="shared" si="36"/>
        <v>291</v>
      </c>
      <c r="K292" t="e">
        <f t="shared" si="37"/>
        <v>#NUM!</v>
      </c>
      <c r="L292" t="str">
        <f t="shared" si="34"/>
        <v/>
      </c>
      <c r="M292" t="str">
        <f t="shared" si="35"/>
        <v/>
      </c>
      <c r="N292" t="str">
        <f t="shared" si="38"/>
        <v/>
      </c>
      <c r="O292" t="str">
        <f t="shared" si="39"/>
        <v/>
      </c>
    </row>
    <row r="293" spans="1:15" x14ac:dyDescent="0.3">
      <c r="A293">
        <v>292</v>
      </c>
      <c r="B293" t="s">
        <v>411</v>
      </c>
      <c r="C293" t="s">
        <v>394</v>
      </c>
      <c r="D293" t="s">
        <v>324</v>
      </c>
      <c r="E293" t="str">
        <f t="shared" si="32"/>
        <v xml:space="preserve">ΠΕΛΟΠΟΝΝΗΣΟΥ - ΝΕΜΕΑΣ, </v>
      </c>
      <c r="F293" t="s">
        <v>831</v>
      </c>
      <c r="G293">
        <v>14322</v>
      </c>
      <c r="H293" t="str">
        <f t="shared" si="33"/>
        <v>ΝΑΙ</v>
      </c>
      <c r="I293" t="str">
        <f>LOOKUP(B293,ΠΕΡΙΦΕΡΕΙΑ!$A$2:$A$14,ΠΕΡΙΦΕΡΕΙΑ!$B$2:$B$14)</f>
        <v>Μερική</v>
      </c>
      <c r="J293">
        <f t="shared" si="36"/>
        <v>292</v>
      </c>
      <c r="K293" t="e">
        <f t="shared" si="37"/>
        <v>#NUM!</v>
      </c>
      <c r="L293" t="str">
        <f t="shared" si="34"/>
        <v/>
      </c>
      <c r="M293" t="str">
        <f t="shared" si="35"/>
        <v/>
      </c>
      <c r="N293" t="str">
        <f t="shared" si="38"/>
        <v/>
      </c>
      <c r="O293" t="str">
        <f t="shared" si="39"/>
        <v/>
      </c>
    </row>
    <row r="294" spans="1:15" x14ac:dyDescent="0.3">
      <c r="A294">
        <v>293</v>
      </c>
      <c r="B294" t="s">
        <v>411</v>
      </c>
      <c r="C294" t="s">
        <v>393</v>
      </c>
      <c r="D294" t="s">
        <v>319</v>
      </c>
      <c r="E294" t="str">
        <f t="shared" si="32"/>
        <v xml:space="preserve">ΠΕΛΟΠΟΝΝΗΣΟΥ - ΝΟΤΙΑΣ ΚΥΝΟΥΡΙΑΣ, </v>
      </c>
      <c r="F294" t="s">
        <v>832</v>
      </c>
      <c r="G294">
        <v>14340</v>
      </c>
      <c r="H294" t="str">
        <f t="shared" si="33"/>
        <v/>
      </c>
      <c r="I294" t="str">
        <f>LOOKUP(B294,ΠΕΡΙΦΕΡΕΙΑ!$A$2:$A$14,ΠΕΡΙΦΕΡΕΙΑ!$B$2:$B$14)</f>
        <v>Μερική</v>
      </c>
      <c r="J294" t="str">
        <f t="shared" si="36"/>
        <v/>
      </c>
      <c r="K294" t="e">
        <f t="shared" si="37"/>
        <v>#NUM!</v>
      </c>
      <c r="L294" t="str">
        <f t="shared" si="34"/>
        <v/>
      </c>
      <c r="M294" t="str">
        <f t="shared" si="35"/>
        <v/>
      </c>
      <c r="N294" t="str">
        <f t="shared" si="38"/>
        <v/>
      </c>
      <c r="O294" t="str">
        <f t="shared" si="39"/>
        <v/>
      </c>
    </row>
    <row r="295" spans="1:15" x14ac:dyDescent="0.3">
      <c r="A295">
        <v>294</v>
      </c>
      <c r="B295" t="s">
        <v>411</v>
      </c>
      <c r="C295" t="s">
        <v>394</v>
      </c>
      <c r="D295" t="s">
        <v>325</v>
      </c>
      <c r="E295" t="str">
        <f t="shared" si="32"/>
        <v xml:space="preserve">ΠΕΛΟΠΟΝΝΗΣΟΥ - ΞΥΛΟΚΑΣΤΡΟΥ – ΕΥΡΩΣΤΙΝΗΣ, </v>
      </c>
      <c r="F295" t="s">
        <v>833</v>
      </c>
      <c r="G295">
        <v>14346</v>
      </c>
      <c r="H295" t="str">
        <f t="shared" si="33"/>
        <v>ΝΑΙ</v>
      </c>
      <c r="I295" t="str">
        <f>LOOKUP(B295,ΠΕΡΙΦΕΡΕΙΑ!$A$2:$A$14,ΠΕΡΙΦΕΡΕΙΑ!$B$2:$B$14)</f>
        <v>Μερική</v>
      </c>
      <c r="J295">
        <f t="shared" si="36"/>
        <v>294</v>
      </c>
      <c r="K295" t="e">
        <f t="shared" si="37"/>
        <v>#NUM!</v>
      </c>
      <c r="L295" t="str">
        <f t="shared" si="34"/>
        <v/>
      </c>
      <c r="M295" t="str">
        <f t="shared" si="35"/>
        <v/>
      </c>
      <c r="N295" t="str">
        <f t="shared" si="38"/>
        <v/>
      </c>
      <c r="O295" t="str">
        <f t="shared" si="39"/>
        <v/>
      </c>
    </row>
    <row r="296" spans="1:15" x14ac:dyDescent="0.3">
      <c r="A296">
        <v>295</v>
      </c>
      <c r="B296" t="s">
        <v>411</v>
      </c>
      <c r="C296" t="s">
        <v>396</v>
      </c>
      <c r="D296" t="s">
        <v>335</v>
      </c>
      <c r="E296" t="str">
        <f t="shared" si="32"/>
        <v xml:space="preserve">ΠΕΛΟΠΟΝΝΗΣΟΥ - ΟΙΧΑΛΙΑΣ, </v>
      </c>
      <c r="F296" t="s">
        <v>834</v>
      </c>
      <c r="G296">
        <v>14350</v>
      </c>
      <c r="H296" t="str">
        <f t="shared" si="33"/>
        <v/>
      </c>
      <c r="I296" t="str">
        <f>LOOKUP(B296,ΠΕΡΙΦΕΡΕΙΑ!$A$2:$A$14,ΠΕΡΙΦΕΡΕΙΑ!$B$2:$B$14)</f>
        <v>Μερική</v>
      </c>
      <c r="J296" t="str">
        <f t="shared" si="36"/>
        <v/>
      </c>
      <c r="K296" t="e">
        <f t="shared" si="37"/>
        <v>#NUM!</v>
      </c>
      <c r="L296" t="str">
        <f t="shared" si="34"/>
        <v/>
      </c>
      <c r="M296" t="str">
        <f t="shared" si="35"/>
        <v/>
      </c>
      <c r="N296" t="str">
        <f t="shared" si="38"/>
        <v/>
      </c>
      <c r="O296" t="str">
        <f t="shared" si="39"/>
        <v/>
      </c>
    </row>
    <row r="297" spans="1:15" x14ac:dyDescent="0.3">
      <c r="A297">
        <v>296</v>
      </c>
      <c r="B297" t="s">
        <v>411</v>
      </c>
      <c r="C297" t="s">
        <v>396</v>
      </c>
      <c r="D297" t="s">
        <v>336</v>
      </c>
      <c r="E297" t="str">
        <f t="shared" si="32"/>
        <v xml:space="preserve">ΠΕΛΟΠΟΝΝΗΣΟΥ - ΠΥΛΟΥ – ΝΕΣΤΟΡΟΣ, </v>
      </c>
      <c r="F297" t="s">
        <v>835</v>
      </c>
      <c r="G297">
        <v>14426</v>
      </c>
      <c r="H297" t="str">
        <f t="shared" si="33"/>
        <v>ΝΑΙ</v>
      </c>
      <c r="I297" t="str">
        <f>LOOKUP(B297,ΠΕΡΙΦΕΡΕΙΑ!$A$2:$A$14,ΠΕΡΙΦΕΡΕΙΑ!$B$2:$B$14)</f>
        <v>Μερική</v>
      </c>
      <c r="J297">
        <f t="shared" si="36"/>
        <v>296</v>
      </c>
      <c r="K297" t="e">
        <f t="shared" si="37"/>
        <v>#NUM!</v>
      </c>
      <c r="L297" t="str">
        <f t="shared" si="34"/>
        <v/>
      </c>
      <c r="M297" t="str">
        <f t="shared" si="35"/>
        <v/>
      </c>
      <c r="N297" t="str">
        <f t="shared" si="38"/>
        <v/>
      </c>
      <c r="O297" t="str">
        <f t="shared" si="39"/>
        <v/>
      </c>
    </row>
    <row r="298" spans="1:15" x14ac:dyDescent="0.3">
      <c r="A298">
        <v>297</v>
      </c>
      <c r="B298" t="s">
        <v>411</v>
      </c>
      <c r="C298" t="s">
        <v>394</v>
      </c>
      <c r="D298" t="s">
        <v>326</v>
      </c>
      <c r="E298" t="str">
        <f t="shared" si="32"/>
        <v xml:space="preserve">ΠΕΛΟΠΟΝΝΗΣΟΥ - ΣΙΚΥΩΝΙΩΝ, </v>
      </c>
      <c r="F298" t="s">
        <v>836</v>
      </c>
      <c r="G298">
        <v>14460</v>
      </c>
      <c r="H298" t="str">
        <f t="shared" si="33"/>
        <v>ΝΑΙ</v>
      </c>
      <c r="I298" t="str">
        <f>LOOKUP(B298,ΠΕΡΙΦΕΡΕΙΑ!$A$2:$A$14,ΠΕΡΙΦΕΡΕΙΑ!$B$2:$B$14)</f>
        <v>Μερική</v>
      </c>
      <c r="J298">
        <f t="shared" si="36"/>
        <v>297</v>
      </c>
      <c r="K298" t="e">
        <f t="shared" si="37"/>
        <v>#NUM!</v>
      </c>
      <c r="L298" t="str">
        <f t="shared" si="34"/>
        <v/>
      </c>
      <c r="M298" t="str">
        <f t="shared" si="35"/>
        <v/>
      </c>
      <c r="N298" t="str">
        <f t="shared" si="38"/>
        <v/>
      </c>
      <c r="O298" t="str">
        <f t="shared" si="39"/>
        <v/>
      </c>
    </row>
    <row r="299" spans="1:15" x14ac:dyDescent="0.3">
      <c r="A299">
        <v>298</v>
      </c>
      <c r="B299" t="s">
        <v>411</v>
      </c>
      <c r="C299" t="s">
        <v>395</v>
      </c>
      <c r="D299" t="s">
        <v>331</v>
      </c>
      <c r="E299" t="str">
        <f t="shared" si="32"/>
        <v xml:space="preserve">ΠΕΛΟΠΟΝΝΗΣΟΥ - ΣΠΑΡΤΗΣ, </v>
      </c>
      <c r="F299" t="s">
        <v>837</v>
      </c>
      <c r="G299">
        <v>14478</v>
      </c>
      <c r="H299" t="str">
        <f t="shared" si="33"/>
        <v>ΝΑΙ</v>
      </c>
      <c r="I299" t="str">
        <f>LOOKUP(B299,ΠΕΡΙΦΕΡΕΙΑ!$A$2:$A$14,ΠΕΡΙΦΕΡΕΙΑ!$B$2:$B$14)</f>
        <v>Μερική</v>
      </c>
      <c r="J299">
        <f t="shared" si="36"/>
        <v>298</v>
      </c>
      <c r="K299" t="e">
        <f t="shared" si="37"/>
        <v>#NUM!</v>
      </c>
      <c r="L299" t="str">
        <f t="shared" si="34"/>
        <v/>
      </c>
      <c r="M299" t="str">
        <f t="shared" si="35"/>
        <v/>
      </c>
      <c r="N299" t="str">
        <f t="shared" si="38"/>
        <v/>
      </c>
      <c r="O299" t="str">
        <f t="shared" si="39"/>
        <v/>
      </c>
    </row>
    <row r="300" spans="1:15" x14ac:dyDescent="0.3">
      <c r="A300">
        <v>299</v>
      </c>
      <c r="B300" t="s">
        <v>411</v>
      </c>
      <c r="C300" t="s">
        <v>393</v>
      </c>
      <c r="D300" t="s">
        <v>320</v>
      </c>
      <c r="E300" t="str">
        <f t="shared" si="32"/>
        <v xml:space="preserve">ΠΕΛΟΠΟΝΝΗΣΟΥ - ΤΡΙΠΟΛΗΣ, </v>
      </c>
      <c r="F300" t="s">
        <v>838</v>
      </c>
      <c r="G300">
        <v>14500</v>
      </c>
      <c r="H300" t="str">
        <f t="shared" si="33"/>
        <v>ΝΑΙ</v>
      </c>
      <c r="I300" t="str">
        <f>LOOKUP(B300,ΠΕΡΙΦΕΡΕΙΑ!$A$2:$A$14,ΠΕΡΙΦΕΡΕΙΑ!$B$2:$B$14)</f>
        <v>Μερική</v>
      </c>
      <c r="J300">
        <f t="shared" si="36"/>
        <v>299</v>
      </c>
      <c r="K300" t="e">
        <f t="shared" si="37"/>
        <v>#NUM!</v>
      </c>
      <c r="L300" t="str">
        <f t="shared" si="34"/>
        <v/>
      </c>
      <c r="M300" t="str">
        <f t="shared" si="35"/>
        <v/>
      </c>
      <c r="N300" t="str">
        <f t="shared" si="38"/>
        <v/>
      </c>
      <c r="O300" t="str">
        <f t="shared" si="39"/>
        <v/>
      </c>
    </row>
    <row r="301" spans="1:15" x14ac:dyDescent="0.3">
      <c r="A301">
        <v>300</v>
      </c>
      <c r="B301" t="s">
        <v>411</v>
      </c>
      <c r="C301" t="s">
        <v>396</v>
      </c>
      <c r="D301" t="s">
        <v>337</v>
      </c>
      <c r="E301" t="str">
        <f t="shared" si="32"/>
        <v xml:space="preserve">ΠΕΛΟΠΟΝΝΗΣΟΥ - ΤΡΙΦΥΛΙΑΣ, </v>
      </c>
      <c r="F301" t="s">
        <v>839</v>
      </c>
      <c r="G301">
        <v>14504</v>
      </c>
      <c r="H301" t="str">
        <f t="shared" si="33"/>
        <v>ΝΑΙ</v>
      </c>
      <c r="I301" t="str">
        <f>LOOKUP(B301,ΠΕΡΙΦΕΡΕΙΑ!$A$2:$A$14,ΠΕΡΙΦΕΡΕΙΑ!$B$2:$B$14)</f>
        <v>Μερική</v>
      </c>
      <c r="J301">
        <f t="shared" si="36"/>
        <v>300</v>
      </c>
      <c r="K301" t="e">
        <f t="shared" si="37"/>
        <v>#NUM!</v>
      </c>
      <c r="L301" t="str">
        <f t="shared" si="34"/>
        <v/>
      </c>
      <c r="M301" t="str">
        <f t="shared" si="35"/>
        <v/>
      </c>
      <c r="N301" t="str">
        <f t="shared" si="38"/>
        <v/>
      </c>
      <c r="O301" t="str">
        <f t="shared" si="39"/>
        <v/>
      </c>
    </row>
    <row r="302" spans="1:15" x14ac:dyDescent="0.3">
      <c r="A302">
        <v>301</v>
      </c>
      <c r="B302" t="s">
        <v>412</v>
      </c>
      <c r="C302" t="s">
        <v>399</v>
      </c>
      <c r="D302" t="s">
        <v>352</v>
      </c>
      <c r="E302" t="str">
        <f t="shared" si="32"/>
        <v xml:space="preserve">ΣΤΕΡΕΑΣ ΕΛΛΑΔΑΣ - ΑΓΡΑΦΩΝ, </v>
      </c>
      <c r="F302" t="s">
        <v>840</v>
      </c>
      <c r="G302">
        <v>13940</v>
      </c>
      <c r="H302" t="str">
        <f t="shared" si="33"/>
        <v/>
      </c>
      <c r="I302" t="str">
        <f>LOOKUP(B302,ΠΕΡΙΦΕΡΕΙΑ!$A$2:$A$14,ΠΕΡΙΦΕΡΕΙΑ!$B$2:$B$14)</f>
        <v>Μερική</v>
      </c>
      <c r="J302" t="str">
        <f t="shared" si="36"/>
        <v/>
      </c>
      <c r="K302" t="e">
        <f t="shared" si="37"/>
        <v>#NUM!</v>
      </c>
      <c r="L302" t="str">
        <f t="shared" si="34"/>
        <v/>
      </c>
      <c r="M302" t="str">
        <f t="shared" si="35"/>
        <v/>
      </c>
      <c r="N302" t="str">
        <f t="shared" si="38"/>
        <v/>
      </c>
      <c r="O302" t="str">
        <f t="shared" si="39"/>
        <v/>
      </c>
    </row>
    <row r="303" spans="1:15" x14ac:dyDescent="0.3">
      <c r="A303">
        <v>302</v>
      </c>
      <c r="B303" t="s">
        <v>412</v>
      </c>
      <c r="C303" t="s">
        <v>397</v>
      </c>
      <c r="D303" t="s">
        <v>338</v>
      </c>
      <c r="E303" t="str">
        <f t="shared" si="32"/>
        <v xml:space="preserve">ΣΤΕΡΕΑΣ ΕΛΛΑΔΑΣ - ΑΛΙΑΡΤΟΥ, </v>
      </c>
      <c r="F303" t="s">
        <v>841</v>
      </c>
      <c r="G303">
        <v>13954</v>
      </c>
      <c r="H303" t="str">
        <f t="shared" si="33"/>
        <v>ΝΑΙ</v>
      </c>
      <c r="I303" t="str">
        <f>LOOKUP(B303,ΠΕΡΙΦΕΡΕΙΑ!$A$2:$A$14,ΠΕΡΙΦΕΡΕΙΑ!$B$2:$B$14)</f>
        <v>Μερική</v>
      </c>
      <c r="J303">
        <f t="shared" si="36"/>
        <v>302</v>
      </c>
      <c r="K303" t="e">
        <f t="shared" si="37"/>
        <v>#NUM!</v>
      </c>
      <c r="L303" t="str">
        <f t="shared" si="34"/>
        <v/>
      </c>
      <c r="M303" t="str">
        <f t="shared" si="35"/>
        <v/>
      </c>
      <c r="N303" t="str">
        <f t="shared" si="38"/>
        <v/>
      </c>
      <c r="O303" t="str">
        <f t="shared" si="39"/>
        <v/>
      </c>
    </row>
    <row r="304" spans="1:15" x14ac:dyDescent="0.3">
      <c r="A304">
        <v>303</v>
      </c>
      <c r="B304" t="s">
        <v>412</v>
      </c>
      <c r="C304" t="s">
        <v>400</v>
      </c>
      <c r="D304" t="s">
        <v>354</v>
      </c>
      <c r="E304" t="str">
        <f t="shared" si="32"/>
        <v xml:space="preserve">ΣΤΕΡΕΑΣ ΕΛΛΑΔΑΣ - ΑΜΦΙΚΛΕΙΑΣ – ΕΛΑΤΕΙΑΣ, </v>
      </c>
      <c r="F304" t="s">
        <v>842</v>
      </c>
      <c r="G304">
        <v>13972</v>
      </c>
      <c r="H304" t="str">
        <f t="shared" si="33"/>
        <v>ΝΑΙ</v>
      </c>
      <c r="I304" t="str">
        <f>LOOKUP(B304,ΠΕΡΙΦΕΡΕΙΑ!$A$2:$A$14,ΠΕΡΙΦΕΡΕΙΑ!$B$2:$B$14)</f>
        <v>Μερική</v>
      </c>
      <c r="J304">
        <f t="shared" si="36"/>
        <v>303</v>
      </c>
      <c r="K304" t="e">
        <f t="shared" si="37"/>
        <v>#NUM!</v>
      </c>
      <c r="L304" t="str">
        <f t="shared" si="34"/>
        <v/>
      </c>
      <c r="M304" t="str">
        <f t="shared" si="35"/>
        <v/>
      </c>
      <c r="N304" t="str">
        <f t="shared" si="38"/>
        <v/>
      </c>
      <c r="O304" t="str">
        <f t="shared" si="39"/>
        <v/>
      </c>
    </row>
    <row r="305" spans="1:15" x14ac:dyDescent="0.3">
      <c r="A305">
        <v>304</v>
      </c>
      <c r="B305" t="s">
        <v>412</v>
      </c>
      <c r="C305" t="s">
        <v>401</v>
      </c>
      <c r="D305" t="s">
        <v>361</v>
      </c>
      <c r="E305" t="str">
        <f t="shared" si="32"/>
        <v xml:space="preserve">ΣΤΕΡΕΑΣ ΕΛΛΑΔΑΣ - ΔΕΛΦΩΝ, </v>
      </c>
      <c r="F305" t="s">
        <v>843</v>
      </c>
      <c r="G305">
        <v>14052</v>
      </c>
      <c r="H305" t="str">
        <f t="shared" si="33"/>
        <v>ΝΑΙ</v>
      </c>
      <c r="I305" t="str">
        <f>LOOKUP(B305,ΠΕΡΙΦΕΡΕΙΑ!$A$2:$A$14,ΠΕΡΙΦΕΡΕΙΑ!$B$2:$B$14)</f>
        <v>Μερική</v>
      </c>
      <c r="J305">
        <f t="shared" si="36"/>
        <v>304</v>
      </c>
      <c r="K305" t="e">
        <f t="shared" si="37"/>
        <v>#NUM!</v>
      </c>
      <c r="L305" t="str">
        <f t="shared" si="34"/>
        <v/>
      </c>
      <c r="M305" t="str">
        <f t="shared" si="35"/>
        <v/>
      </c>
      <c r="N305" t="str">
        <f t="shared" si="38"/>
        <v/>
      </c>
      <c r="O305" t="str">
        <f t="shared" si="39"/>
        <v/>
      </c>
    </row>
    <row r="306" spans="1:15" x14ac:dyDescent="0.3">
      <c r="A306">
        <v>305</v>
      </c>
      <c r="B306" t="s">
        <v>412</v>
      </c>
      <c r="C306" t="s">
        <v>398</v>
      </c>
      <c r="D306" t="s">
        <v>344</v>
      </c>
      <c r="E306" t="str">
        <f t="shared" si="32"/>
        <v xml:space="preserve">ΣΤΕΡΕΑΣ ΕΛΛΑΔΑΣ - ΔΙΡΦΥΩΝ – ΜΕΣΣΑΠΙΩΝ, </v>
      </c>
      <c r="F306" t="s">
        <v>844</v>
      </c>
      <c r="G306">
        <v>14064</v>
      </c>
      <c r="H306" t="str">
        <f t="shared" si="33"/>
        <v>ΝΑΙ</v>
      </c>
      <c r="I306" t="str">
        <f>LOOKUP(B306,ΠΕΡΙΦΕΡΕΙΑ!$A$2:$A$14,ΠΕΡΙΦΕΡΕΙΑ!$B$2:$B$14)</f>
        <v>Μερική</v>
      </c>
      <c r="J306">
        <f t="shared" si="36"/>
        <v>305</v>
      </c>
      <c r="K306" t="e">
        <f t="shared" si="37"/>
        <v>#NUM!</v>
      </c>
      <c r="L306" t="str">
        <f t="shared" si="34"/>
        <v/>
      </c>
      <c r="M306" t="str">
        <f t="shared" si="35"/>
        <v/>
      </c>
      <c r="N306" t="str">
        <f t="shared" si="38"/>
        <v/>
      </c>
      <c r="O306" t="str">
        <f t="shared" si="39"/>
        <v/>
      </c>
    </row>
    <row r="307" spans="1:15" x14ac:dyDescent="0.3">
      <c r="A307">
        <v>306</v>
      </c>
      <c r="B307" t="s">
        <v>412</v>
      </c>
      <c r="C307" t="s">
        <v>397</v>
      </c>
      <c r="D307" t="s">
        <v>339</v>
      </c>
      <c r="E307" t="str">
        <f t="shared" si="32"/>
        <v xml:space="preserve">ΣΤΕΡΕΑΣ ΕΛΛΑΔΑΣ - ΔΙΣΤΟΜΟΥ – ΑΡΑΧΟΒΑΣ – ΑΝΤΙΚΥΡΑΣ, </v>
      </c>
      <c r="F307" t="s">
        <v>845</v>
      </c>
      <c r="G307">
        <v>14056</v>
      </c>
      <c r="H307" t="str">
        <f t="shared" si="33"/>
        <v>ΝΑΙ</v>
      </c>
      <c r="I307" t="str">
        <f>LOOKUP(B307,ΠΕΡΙΦΕΡΕΙΑ!$A$2:$A$14,ΠΕΡΙΦΕΡΕΙΑ!$B$2:$B$14)</f>
        <v>Μερική</v>
      </c>
      <c r="J307">
        <f t="shared" si="36"/>
        <v>306</v>
      </c>
      <c r="K307" t="e">
        <f t="shared" si="37"/>
        <v>#NUM!</v>
      </c>
      <c r="L307" t="str">
        <f t="shared" si="34"/>
        <v/>
      </c>
      <c r="M307" t="str">
        <f t="shared" si="35"/>
        <v/>
      </c>
      <c r="N307" t="str">
        <f t="shared" si="38"/>
        <v/>
      </c>
      <c r="O307" t="str">
        <f t="shared" si="39"/>
        <v/>
      </c>
    </row>
    <row r="308" spans="1:15" x14ac:dyDescent="0.3">
      <c r="A308">
        <v>307</v>
      </c>
      <c r="B308" t="s">
        <v>412</v>
      </c>
      <c r="C308" t="s">
        <v>400</v>
      </c>
      <c r="D308" t="s">
        <v>355</v>
      </c>
      <c r="E308" t="str">
        <f t="shared" si="32"/>
        <v xml:space="preserve">ΣΤΕΡΕΑΣ ΕΛΛΑΔΑΣ - ΔΟΜΟΚΟΥ, </v>
      </c>
      <c r="F308" t="s">
        <v>846</v>
      </c>
      <c r="G308">
        <v>14066</v>
      </c>
      <c r="H308" t="str">
        <f t="shared" si="33"/>
        <v>ΝΑΙ</v>
      </c>
      <c r="I308" t="str">
        <f>LOOKUP(B308,ΠΕΡΙΦΕΡΕΙΑ!$A$2:$A$14,ΠΕΡΙΦΕΡΕΙΑ!$B$2:$B$14)</f>
        <v>Μερική</v>
      </c>
      <c r="J308">
        <f t="shared" si="36"/>
        <v>307</v>
      </c>
      <c r="K308" t="e">
        <f t="shared" si="37"/>
        <v>#NUM!</v>
      </c>
      <c r="L308" t="str">
        <f t="shared" si="34"/>
        <v/>
      </c>
      <c r="M308" t="str">
        <f t="shared" si="35"/>
        <v/>
      </c>
      <c r="N308" t="str">
        <f t="shared" si="38"/>
        <v/>
      </c>
      <c r="O308" t="str">
        <f t="shared" si="39"/>
        <v/>
      </c>
    </row>
    <row r="309" spans="1:15" x14ac:dyDescent="0.3">
      <c r="A309">
        <v>308</v>
      </c>
      <c r="B309" t="s">
        <v>412</v>
      </c>
      <c r="C309" t="s">
        <v>401</v>
      </c>
      <c r="D309" t="s">
        <v>362</v>
      </c>
      <c r="E309" t="str">
        <f t="shared" si="32"/>
        <v xml:space="preserve">ΣΤΕΡΕΑΣ ΕΛΛΑΔΑΣ - ΔΩΡΙΔΟΣ, </v>
      </c>
      <c r="F309" t="s">
        <v>847</v>
      </c>
      <c r="G309">
        <v>14078</v>
      </c>
      <c r="H309" t="str">
        <f t="shared" si="33"/>
        <v>ΝΑΙ</v>
      </c>
      <c r="I309" t="str">
        <f>LOOKUP(B309,ΠΕΡΙΦΕΡΕΙΑ!$A$2:$A$14,ΠΕΡΙΦΕΡΕΙΑ!$B$2:$B$14)</f>
        <v>Μερική</v>
      </c>
      <c r="J309">
        <f t="shared" si="36"/>
        <v>308</v>
      </c>
      <c r="K309" t="e">
        <f t="shared" si="37"/>
        <v>#NUM!</v>
      </c>
      <c r="L309" t="str">
        <f t="shared" si="34"/>
        <v/>
      </c>
      <c r="M309" t="str">
        <f t="shared" si="35"/>
        <v/>
      </c>
      <c r="N309" t="str">
        <f t="shared" si="38"/>
        <v/>
      </c>
      <c r="O309" t="str">
        <f t="shared" si="39"/>
        <v/>
      </c>
    </row>
    <row r="310" spans="1:15" x14ac:dyDescent="0.3">
      <c r="A310">
        <v>309</v>
      </c>
      <c r="B310" t="s">
        <v>412</v>
      </c>
      <c r="C310" t="s">
        <v>398</v>
      </c>
      <c r="D310" t="s">
        <v>345</v>
      </c>
      <c r="E310" t="str">
        <f t="shared" si="32"/>
        <v xml:space="preserve">ΣΤΕΡΕΑΣ ΕΛΛΑΔΑΣ - ΕΡΕΤΡΙΑΣ, </v>
      </c>
      <c r="F310" t="s">
        <v>848</v>
      </c>
      <c r="G310">
        <v>14094</v>
      </c>
      <c r="H310" t="str">
        <f t="shared" si="33"/>
        <v>ΝΑΙ</v>
      </c>
      <c r="I310" t="str">
        <f>LOOKUP(B310,ΠΕΡΙΦΕΡΕΙΑ!$A$2:$A$14,ΠΕΡΙΦΕΡΕΙΑ!$B$2:$B$14)</f>
        <v>Μερική</v>
      </c>
      <c r="J310">
        <f t="shared" si="36"/>
        <v>309</v>
      </c>
      <c r="K310" t="e">
        <f t="shared" si="37"/>
        <v>#NUM!</v>
      </c>
      <c r="L310" t="str">
        <f t="shared" si="34"/>
        <v/>
      </c>
      <c r="M310" t="str">
        <f t="shared" si="35"/>
        <v/>
      </c>
      <c r="N310" t="str">
        <f t="shared" si="38"/>
        <v/>
      </c>
      <c r="O310" t="str">
        <f t="shared" si="39"/>
        <v/>
      </c>
    </row>
    <row r="311" spans="1:15" x14ac:dyDescent="0.3">
      <c r="A311">
        <v>310</v>
      </c>
      <c r="B311" t="s">
        <v>412</v>
      </c>
      <c r="C311" t="s">
        <v>397</v>
      </c>
      <c r="D311" t="s">
        <v>340</v>
      </c>
      <c r="E311" t="str">
        <f t="shared" si="32"/>
        <v xml:space="preserve">ΣΤΕΡΕΑΣ ΕΛΛΑΔΑΣ - ΘΗΒΑΙΩΝ, </v>
      </c>
      <c r="F311" t="s">
        <v>849</v>
      </c>
      <c r="G311">
        <v>14132</v>
      </c>
      <c r="H311" t="str">
        <f t="shared" si="33"/>
        <v>ΝΑΙ</v>
      </c>
      <c r="I311" t="str">
        <f>LOOKUP(B311,ΠΕΡΙΦΕΡΕΙΑ!$A$2:$A$14,ΠΕΡΙΦΕΡΕΙΑ!$B$2:$B$14)</f>
        <v>Μερική</v>
      </c>
      <c r="J311">
        <f t="shared" si="36"/>
        <v>310</v>
      </c>
      <c r="K311" t="e">
        <f t="shared" si="37"/>
        <v>#NUM!</v>
      </c>
      <c r="L311" t="str">
        <f t="shared" si="34"/>
        <v/>
      </c>
      <c r="M311" t="str">
        <f t="shared" si="35"/>
        <v/>
      </c>
      <c r="N311" t="str">
        <f t="shared" si="38"/>
        <v/>
      </c>
      <c r="O311" t="str">
        <f t="shared" si="39"/>
        <v/>
      </c>
    </row>
    <row r="312" spans="1:15" x14ac:dyDescent="0.3">
      <c r="A312">
        <v>311</v>
      </c>
      <c r="B312" t="s">
        <v>412</v>
      </c>
      <c r="C312" t="s">
        <v>398</v>
      </c>
      <c r="D312" t="s">
        <v>346</v>
      </c>
      <c r="E312" t="str">
        <f t="shared" si="32"/>
        <v xml:space="preserve">ΣΤΕΡΕΑΣ ΕΛΛΑΔΑΣ - ΙΣΤΙΑΙΑΣ – ΑΙΔΗΨΟΥ, </v>
      </c>
      <c r="F312" t="s">
        <v>850</v>
      </c>
      <c r="G312">
        <v>14152</v>
      </c>
      <c r="H312" t="str">
        <f t="shared" si="33"/>
        <v>ΝΑΙ</v>
      </c>
      <c r="I312" t="str">
        <f>LOOKUP(B312,ΠΕΡΙΦΕΡΕΙΑ!$A$2:$A$14,ΠΕΡΙΦΕΡΕΙΑ!$B$2:$B$14)</f>
        <v>Μερική</v>
      </c>
      <c r="J312">
        <f t="shared" si="36"/>
        <v>311</v>
      </c>
      <c r="K312" t="e">
        <f t="shared" si="37"/>
        <v>#NUM!</v>
      </c>
      <c r="L312" t="str">
        <f t="shared" si="34"/>
        <v/>
      </c>
      <c r="M312" t="str">
        <f t="shared" si="35"/>
        <v/>
      </c>
      <c r="N312" t="str">
        <f t="shared" si="38"/>
        <v/>
      </c>
      <c r="O312" t="str">
        <f t="shared" si="39"/>
        <v/>
      </c>
    </row>
    <row r="313" spans="1:15" x14ac:dyDescent="0.3">
      <c r="A313">
        <v>312</v>
      </c>
      <c r="B313" t="s">
        <v>412</v>
      </c>
      <c r="C313" t="s">
        <v>399</v>
      </c>
      <c r="D313" t="s">
        <v>353</v>
      </c>
      <c r="E313" t="str">
        <f t="shared" si="32"/>
        <v xml:space="preserve">ΣΤΕΡΕΑΣ ΕΛΛΑΔΑΣ - ΚΑΡΠΕΝΗΣΙΟΥ, </v>
      </c>
      <c r="F313" t="s">
        <v>851</v>
      </c>
      <c r="G313">
        <v>14194</v>
      </c>
      <c r="H313" t="str">
        <f t="shared" si="33"/>
        <v>ΝΑΙ</v>
      </c>
      <c r="I313" t="str">
        <f>LOOKUP(B313,ΠΕΡΙΦΕΡΕΙΑ!$A$2:$A$14,ΠΕΡΙΦΕΡΕΙΑ!$B$2:$B$14)</f>
        <v>Μερική</v>
      </c>
      <c r="J313">
        <f t="shared" si="36"/>
        <v>312</v>
      </c>
      <c r="K313" t="e">
        <f t="shared" si="37"/>
        <v>#NUM!</v>
      </c>
      <c r="L313" t="str">
        <f t="shared" si="34"/>
        <v/>
      </c>
      <c r="M313" t="str">
        <f t="shared" si="35"/>
        <v/>
      </c>
      <c r="N313" t="str">
        <f t="shared" si="38"/>
        <v/>
      </c>
      <c r="O313" t="str">
        <f t="shared" si="39"/>
        <v/>
      </c>
    </row>
    <row r="314" spans="1:15" x14ac:dyDescent="0.3">
      <c r="A314">
        <v>313</v>
      </c>
      <c r="B314" t="s">
        <v>412</v>
      </c>
      <c r="C314" t="s">
        <v>398</v>
      </c>
      <c r="D314" t="s">
        <v>347</v>
      </c>
      <c r="E314" t="str">
        <f t="shared" si="32"/>
        <v xml:space="preserve">ΣΤΕΡΕΑΣ ΕΛΛΑΔΑΣ - ΚΑΡΥΣΤΟΥ, </v>
      </c>
      <c r="F314" t="s">
        <v>852</v>
      </c>
      <c r="G314">
        <v>14196</v>
      </c>
      <c r="H314" t="str">
        <f t="shared" si="33"/>
        <v>ΝΑΙ</v>
      </c>
      <c r="I314" t="str">
        <f>LOOKUP(B314,ΠΕΡΙΦΕΡΕΙΑ!$A$2:$A$14,ΠΕΡΙΦΕΡΕΙΑ!$B$2:$B$14)</f>
        <v>Μερική</v>
      </c>
      <c r="J314">
        <f t="shared" si="36"/>
        <v>313</v>
      </c>
      <c r="K314" t="e">
        <f t="shared" si="37"/>
        <v>#NUM!</v>
      </c>
      <c r="L314" t="str">
        <f t="shared" si="34"/>
        <v/>
      </c>
      <c r="M314" t="str">
        <f t="shared" si="35"/>
        <v/>
      </c>
      <c r="N314" t="str">
        <f t="shared" si="38"/>
        <v/>
      </c>
      <c r="O314" t="str">
        <f t="shared" si="39"/>
        <v/>
      </c>
    </row>
    <row r="315" spans="1:15" x14ac:dyDescent="0.3">
      <c r="A315">
        <v>314</v>
      </c>
      <c r="B315" t="s">
        <v>412</v>
      </c>
      <c r="C315" t="s">
        <v>398</v>
      </c>
      <c r="D315" t="s">
        <v>348</v>
      </c>
      <c r="E315" t="str">
        <f t="shared" si="32"/>
        <v xml:space="preserve">ΣΤΕΡΕΑΣ ΕΛΛΑΔΑΣ - ΚΥΜΗΣ – ΑΛΙΒΕΡΙΟΥ, </v>
      </c>
      <c r="F315" t="s">
        <v>853</v>
      </c>
      <c r="G315">
        <v>14234</v>
      </c>
      <c r="H315" t="str">
        <f t="shared" si="33"/>
        <v>ΝΑΙ</v>
      </c>
      <c r="I315" t="str">
        <f>LOOKUP(B315,ΠΕΡΙΦΕΡΕΙΑ!$A$2:$A$14,ΠΕΡΙΦΕΡΕΙΑ!$B$2:$B$14)</f>
        <v>Μερική</v>
      </c>
      <c r="J315">
        <f t="shared" si="36"/>
        <v>314</v>
      </c>
      <c r="K315" t="e">
        <f t="shared" si="37"/>
        <v>#NUM!</v>
      </c>
      <c r="L315" t="str">
        <f t="shared" si="34"/>
        <v/>
      </c>
      <c r="M315" t="str">
        <f t="shared" si="35"/>
        <v/>
      </c>
      <c r="N315" t="str">
        <f t="shared" si="38"/>
        <v/>
      </c>
      <c r="O315" t="str">
        <f t="shared" si="39"/>
        <v/>
      </c>
    </row>
    <row r="316" spans="1:15" x14ac:dyDescent="0.3">
      <c r="A316">
        <v>315</v>
      </c>
      <c r="B316" t="s">
        <v>412</v>
      </c>
      <c r="C316" t="s">
        <v>400</v>
      </c>
      <c r="D316" t="s">
        <v>356</v>
      </c>
      <c r="E316" t="str">
        <f t="shared" si="32"/>
        <v xml:space="preserve">ΣΤΕΡΕΑΣ ΕΛΛΑΔΑΣ - ΛΑΜΙΕΩΝ, </v>
      </c>
      <c r="F316" t="s">
        <v>854</v>
      </c>
      <c r="G316">
        <v>14236</v>
      </c>
      <c r="H316" t="str">
        <f t="shared" si="33"/>
        <v>ΝΑΙ</v>
      </c>
      <c r="I316" t="str">
        <f>LOOKUP(B316,ΠΕΡΙΦΕΡΕΙΑ!$A$2:$A$14,ΠΕΡΙΦΕΡΕΙΑ!$B$2:$B$14)</f>
        <v>Μερική</v>
      </c>
      <c r="J316">
        <f t="shared" si="36"/>
        <v>315</v>
      </c>
      <c r="K316" t="e">
        <f t="shared" si="37"/>
        <v>#NUM!</v>
      </c>
      <c r="L316" t="str">
        <f t="shared" si="34"/>
        <v/>
      </c>
      <c r="M316" t="str">
        <f t="shared" si="35"/>
        <v/>
      </c>
      <c r="N316" t="str">
        <f t="shared" si="38"/>
        <v/>
      </c>
      <c r="O316" t="str">
        <f t="shared" si="39"/>
        <v/>
      </c>
    </row>
    <row r="317" spans="1:15" x14ac:dyDescent="0.3">
      <c r="A317">
        <v>316</v>
      </c>
      <c r="B317" t="s">
        <v>412</v>
      </c>
      <c r="C317" t="s">
        <v>397</v>
      </c>
      <c r="D317" t="s">
        <v>341</v>
      </c>
      <c r="E317" t="str">
        <f t="shared" si="32"/>
        <v xml:space="preserve">ΣΤΕΡΕΑΣ ΕΛΛΑΔΑΣ - ΛΕΒΑΔΕΩΝ, </v>
      </c>
      <c r="F317" t="s">
        <v>855</v>
      </c>
      <c r="G317">
        <v>14250</v>
      </c>
      <c r="H317" t="str">
        <f t="shared" si="33"/>
        <v>ΝΑΙ</v>
      </c>
      <c r="I317" t="str">
        <f>LOOKUP(B317,ΠΕΡΙΦΕΡΕΙΑ!$A$2:$A$14,ΠΕΡΙΦΕΡΕΙΑ!$B$2:$B$14)</f>
        <v>Μερική</v>
      </c>
      <c r="J317">
        <f t="shared" si="36"/>
        <v>316</v>
      </c>
      <c r="K317" t="e">
        <f t="shared" si="37"/>
        <v>#NUM!</v>
      </c>
      <c r="L317" t="str">
        <f t="shared" si="34"/>
        <v/>
      </c>
      <c r="M317" t="str">
        <f t="shared" si="35"/>
        <v/>
      </c>
      <c r="N317" t="str">
        <f t="shared" si="38"/>
        <v/>
      </c>
      <c r="O317" t="str">
        <f t="shared" si="39"/>
        <v/>
      </c>
    </row>
    <row r="318" spans="1:15" x14ac:dyDescent="0.3">
      <c r="A318">
        <v>317</v>
      </c>
      <c r="B318" t="s">
        <v>412</v>
      </c>
      <c r="C318" t="s">
        <v>400</v>
      </c>
      <c r="D318" t="s">
        <v>357</v>
      </c>
      <c r="E318" t="str">
        <f t="shared" si="32"/>
        <v xml:space="preserve">ΣΤΕΡΕΑΣ ΕΛΛΑΔΑΣ - ΛΟΚΡΩΝ, </v>
      </c>
      <c r="F318" t="s">
        <v>856</v>
      </c>
      <c r="G318">
        <v>14242</v>
      </c>
      <c r="H318" t="str">
        <f t="shared" si="33"/>
        <v>ΝΑΙ</v>
      </c>
      <c r="I318" t="str">
        <f>LOOKUP(B318,ΠΕΡΙΦΕΡΕΙΑ!$A$2:$A$14,ΠΕΡΙΦΕΡΕΙΑ!$B$2:$B$14)</f>
        <v>Μερική</v>
      </c>
      <c r="J318">
        <f t="shared" si="36"/>
        <v>317</v>
      </c>
      <c r="K318" t="e">
        <f t="shared" si="37"/>
        <v>#NUM!</v>
      </c>
      <c r="L318" t="str">
        <f t="shared" si="34"/>
        <v/>
      </c>
      <c r="M318" t="str">
        <f t="shared" si="35"/>
        <v/>
      </c>
      <c r="N318" t="str">
        <f t="shared" si="38"/>
        <v/>
      </c>
      <c r="O318" t="str">
        <f t="shared" si="39"/>
        <v/>
      </c>
    </row>
    <row r="319" spans="1:15" x14ac:dyDescent="0.3">
      <c r="A319">
        <v>318</v>
      </c>
      <c r="B319" t="s">
        <v>412</v>
      </c>
      <c r="C319" t="s">
        <v>400</v>
      </c>
      <c r="D319" t="s">
        <v>358</v>
      </c>
      <c r="E319" t="str">
        <f t="shared" si="32"/>
        <v xml:space="preserve">ΣΤΕΡΕΑΣ ΕΛΛΑΔΑΣ - ΜΑΚΡΑΚΩΜΗΣ, </v>
      </c>
      <c r="F319" t="s">
        <v>857</v>
      </c>
      <c r="G319">
        <v>14262</v>
      </c>
      <c r="H319" t="str">
        <f t="shared" si="33"/>
        <v/>
      </c>
      <c r="I319" t="str">
        <f>LOOKUP(B319,ΠΕΡΙΦΕΡΕΙΑ!$A$2:$A$14,ΠΕΡΙΦΕΡΕΙΑ!$B$2:$B$14)</f>
        <v>Μερική</v>
      </c>
      <c r="J319" t="str">
        <f t="shared" si="36"/>
        <v/>
      </c>
      <c r="K319" t="e">
        <f t="shared" si="37"/>
        <v>#NUM!</v>
      </c>
      <c r="L319" t="str">
        <f t="shared" si="34"/>
        <v/>
      </c>
      <c r="M319" t="str">
        <f t="shared" si="35"/>
        <v/>
      </c>
      <c r="N319" t="str">
        <f t="shared" si="38"/>
        <v/>
      </c>
      <c r="O319" t="str">
        <f t="shared" si="39"/>
        <v/>
      </c>
    </row>
    <row r="320" spans="1:15" x14ac:dyDescent="0.3">
      <c r="A320">
        <v>319</v>
      </c>
      <c r="B320" t="s">
        <v>412</v>
      </c>
      <c r="C320" t="s">
        <v>398</v>
      </c>
      <c r="D320" t="s">
        <v>349</v>
      </c>
      <c r="E320" t="str">
        <f t="shared" si="32"/>
        <v xml:space="preserve">ΣΤΕΡΕΑΣ ΕΛΛΑΔΑΣ - ΜΑΝΤΟΥΔΙΟΥ – ΛΙΜΝΗΣ – ΑΓΙΑΣ ΑΝΝΑΣ, </v>
      </c>
      <c r="F320" t="s">
        <v>858</v>
      </c>
      <c r="G320">
        <v>14276</v>
      </c>
      <c r="H320" t="str">
        <f t="shared" si="33"/>
        <v/>
      </c>
      <c r="I320" t="str">
        <f>LOOKUP(B320,ΠΕΡΙΦΕΡΕΙΑ!$A$2:$A$14,ΠΕΡΙΦΕΡΕΙΑ!$B$2:$B$14)</f>
        <v>Μερική</v>
      </c>
      <c r="J320" t="str">
        <f t="shared" si="36"/>
        <v/>
      </c>
      <c r="K320" t="e">
        <f t="shared" si="37"/>
        <v>#NUM!</v>
      </c>
      <c r="L320" t="str">
        <f t="shared" si="34"/>
        <v/>
      </c>
      <c r="M320" t="str">
        <f t="shared" si="35"/>
        <v/>
      </c>
      <c r="N320" t="str">
        <f t="shared" si="38"/>
        <v/>
      </c>
      <c r="O320" t="str">
        <f t="shared" si="39"/>
        <v/>
      </c>
    </row>
    <row r="321" spans="1:15" x14ac:dyDescent="0.3">
      <c r="A321">
        <v>320</v>
      </c>
      <c r="B321" t="s">
        <v>412</v>
      </c>
      <c r="C321" t="s">
        <v>400</v>
      </c>
      <c r="D321" t="s">
        <v>359</v>
      </c>
      <c r="E321" t="str">
        <f t="shared" si="32"/>
        <v xml:space="preserve">ΣΤΕΡΕΑΣ ΕΛΛΑΔΑΣ - ΜΩΛΟΥ – ΑΓΙΟΥ ΚΩΝΣΤΑΝΤΙΝΟΥ, </v>
      </c>
      <c r="F321" t="s">
        <v>859</v>
      </c>
      <c r="G321">
        <v>14308</v>
      </c>
      <c r="H321" t="str">
        <f t="shared" si="33"/>
        <v>ΝΑΙ</v>
      </c>
      <c r="I321" t="str">
        <f>LOOKUP(B321,ΠΕΡΙΦΕΡΕΙΑ!$A$2:$A$14,ΠΕΡΙΦΕΡΕΙΑ!$B$2:$B$14)</f>
        <v>Μερική</v>
      </c>
      <c r="J321">
        <f t="shared" si="36"/>
        <v>320</v>
      </c>
      <c r="K321" t="e">
        <f t="shared" si="37"/>
        <v>#NUM!</v>
      </c>
      <c r="L321" t="str">
        <f t="shared" si="34"/>
        <v/>
      </c>
      <c r="M321" t="str">
        <f t="shared" si="35"/>
        <v/>
      </c>
      <c r="N321" t="str">
        <f t="shared" si="38"/>
        <v/>
      </c>
      <c r="O321" t="str">
        <f t="shared" si="39"/>
        <v/>
      </c>
    </row>
    <row r="322" spans="1:15" x14ac:dyDescent="0.3">
      <c r="A322">
        <v>321</v>
      </c>
      <c r="B322" t="s">
        <v>412</v>
      </c>
      <c r="C322" t="s">
        <v>397</v>
      </c>
      <c r="D322" t="s">
        <v>342</v>
      </c>
      <c r="E322" t="str">
        <f>B322&amp;" - "&amp;D322&amp;", "</f>
        <v xml:space="preserve">ΣΤΕΡΕΑΣ ΕΛΛΑΔΑΣ - ΟΡΧΟΜΕΝΟΥ, </v>
      </c>
      <c r="F322" t="s">
        <v>860</v>
      </c>
      <c r="G322">
        <v>14356</v>
      </c>
      <c r="H322" t="str">
        <f t="shared" si="33"/>
        <v>ΝΑΙ</v>
      </c>
      <c r="I322" t="str">
        <f>LOOKUP(B322,ΠΕΡΙΦΕΡΕΙΑ!$A$2:$A$14,ΠΕΡΙΦΕΡΕΙΑ!$B$2:$B$14)</f>
        <v>Μερική</v>
      </c>
      <c r="J322">
        <f t="shared" si="36"/>
        <v>321</v>
      </c>
      <c r="K322" t="e">
        <f t="shared" si="37"/>
        <v>#NUM!</v>
      </c>
      <c r="L322" t="str">
        <f>IF(ISNUMBER(K322),LOOKUP(K322,A:A,B:B),"")</f>
        <v/>
      </c>
      <c r="M322" t="str">
        <f t="shared" si="35"/>
        <v/>
      </c>
      <c r="N322" t="str">
        <f t="shared" si="38"/>
        <v/>
      </c>
      <c r="O322" t="str">
        <f t="shared" si="39"/>
        <v/>
      </c>
    </row>
    <row r="323" spans="1:15" x14ac:dyDescent="0.3">
      <c r="A323">
        <v>322</v>
      </c>
      <c r="B323" t="s">
        <v>412</v>
      </c>
      <c r="C323" t="s">
        <v>398</v>
      </c>
      <c r="D323" t="s">
        <v>350</v>
      </c>
      <c r="E323" t="str">
        <f>B323&amp;" - "&amp;D323&amp;", "</f>
        <v xml:space="preserve">ΣΤΕΡΕΑΣ ΕΛΛΑΔΑΣ - ΣΚΥΡΟΥ, </v>
      </c>
      <c r="F323" t="s">
        <v>861</v>
      </c>
      <c r="G323">
        <v>14474</v>
      </c>
      <c r="H323" t="str">
        <f t="shared" si="33"/>
        <v/>
      </c>
      <c r="I323" t="str">
        <f>LOOKUP(B323,ΠΕΡΙΦΕΡΕΙΑ!$A$2:$A$14,ΠΕΡΙΦΕΡΕΙΑ!$B$2:$B$14)</f>
        <v>Μερική</v>
      </c>
      <c r="J323" t="str">
        <f>IF(OR(AND(I323="Μερική",H323="ΝΑΙ"),I323="Ολική"),A323,"")</f>
        <v/>
      </c>
      <c r="K323" t="e">
        <f>SMALL(J:J,A323)</f>
        <v>#NUM!</v>
      </c>
      <c r="L323" t="str">
        <f>IF(ISNUMBER(K323),LOOKUP(K323,A:A,B:B),"")</f>
        <v/>
      </c>
      <c r="M323" t="str">
        <f t="shared" si="35"/>
        <v/>
      </c>
      <c r="N323" t="str">
        <f>IF(ISNUMBER(K323),LOOKUP(K323,A:A,G:G),"")</f>
        <v/>
      </c>
      <c r="O323" t="str">
        <f>IF(ISNUMBER(K323),LOOKUP(K323,A:A,F:F),"")</f>
        <v/>
      </c>
    </row>
    <row r="324" spans="1:15" x14ac:dyDescent="0.3">
      <c r="A324">
        <v>323</v>
      </c>
      <c r="B324" t="s">
        <v>412</v>
      </c>
      <c r="C324" t="s">
        <v>400</v>
      </c>
      <c r="D324" t="s">
        <v>360</v>
      </c>
      <c r="E324" t="str">
        <f>B324&amp;" - "&amp;D324&amp;", "</f>
        <v xml:space="preserve">ΣΤΕΡΕΑΣ ΕΛΛΑΔΑΣ - ΣΤΥΛΙΔΟΣ, </v>
      </c>
      <c r="F324" t="s">
        <v>862</v>
      </c>
      <c r="G324">
        <v>14484</v>
      </c>
      <c r="H324" t="str">
        <f t="shared" si="33"/>
        <v>ΝΑΙ</v>
      </c>
      <c r="I324" t="str">
        <f>LOOKUP(B324,ΠΕΡΙΦΕΡΕΙΑ!$A$2:$A$14,ΠΕΡΙΦΕΡΕΙΑ!$B$2:$B$14)</f>
        <v>Μερική</v>
      </c>
      <c r="J324">
        <f>IF(OR(AND(I324="Μερική",H324="ΝΑΙ"),I324="Ολική"),A324,"")</f>
        <v>323</v>
      </c>
      <c r="K324" t="e">
        <f>SMALL(J:J,A324)</f>
        <v>#NUM!</v>
      </c>
      <c r="L324" t="str">
        <f>IF(ISNUMBER(K324),LOOKUP(K324,A:A,B:B),"")</f>
        <v/>
      </c>
      <c r="M324" t="str">
        <f t="shared" si="35"/>
        <v/>
      </c>
      <c r="N324" t="str">
        <f>IF(ISNUMBER(K324),LOOKUP(K324,A:A,G:G),"")</f>
        <v/>
      </c>
      <c r="O324" t="str">
        <f>IF(ISNUMBER(K324),LOOKUP(K324,A:A,F:F),"")</f>
        <v/>
      </c>
    </row>
    <row r="325" spans="1:15" x14ac:dyDescent="0.3">
      <c r="A325">
        <v>324</v>
      </c>
      <c r="B325" t="s">
        <v>412</v>
      </c>
      <c r="C325" t="s">
        <v>397</v>
      </c>
      <c r="D325" t="s">
        <v>343</v>
      </c>
      <c r="E325" t="str">
        <f>B325&amp;" - "&amp;D325&amp;", "</f>
        <v xml:space="preserve">ΣΤΕΡΕΑΣ ΕΛΛΑΔΑΣ - ΤΑΝΑΓΡΑΣ, </v>
      </c>
      <c r="F325" t="s">
        <v>863</v>
      </c>
      <c r="G325">
        <v>14444</v>
      </c>
      <c r="H325" t="str">
        <f t="shared" si="33"/>
        <v>ΝΑΙ</v>
      </c>
      <c r="I325" t="str">
        <f>LOOKUP(B325,ΠΕΡΙΦΕΡΕΙΑ!$A$2:$A$14,ΠΕΡΙΦΕΡΕΙΑ!$B$2:$B$14)</f>
        <v>Μερική</v>
      </c>
      <c r="J325">
        <f>IF(OR(AND(I325="Μερική",H325="ΝΑΙ"),I325="Ολική"),A325,"")</f>
        <v>324</v>
      </c>
      <c r="K325" t="e">
        <f>SMALL(J:J,A325)</f>
        <v>#NUM!</v>
      </c>
      <c r="L325" t="str">
        <f>IF(ISNUMBER(K325),LOOKUP(K325,A:A,B:B),"")</f>
        <v/>
      </c>
      <c r="M325" t="str">
        <f t="shared" si="35"/>
        <v/>
      </c>
      <c r="N325" t="str">
        <f>IF(ISNUMBER(K325),LOOKUP(K325,A:A,G:G),"")</f>
        <v/>
      </c>
      <c r="O325" t="str">
        <f>IF(ISNUMBER(K325),LOOKUP(K325,A:A,F:F),"")</f>
        <v/>
      </c>
    </row>
    <row r="326" spans="1:15" x14ac:dyDescent="0.3">
      <c r="A326">
        <v>325</v>
      </c>
      <c r="B326" t="s">
        <v>412</v>
      </c>
      <c r="C326" t="s">
        <v>398</v>
      </c>
      <c r="D326" t="s">
        <v>351</v>
      </c>
      <c r="E326" t="str">
        <f>B326&amp;" - "&amp;D326&amp;", "</f>
        <v xml:space="preserve">ΣΤΕΡΕΑΣ ΕΛΛΑΔΑΣ - ΧΑΛΚΙΔΕΩΝ, </v>
      </c>
      <c r="F326" t="s">
        <v>864</v>
      </c>
      <c r="G326">
        <v>14538</v>
      </c>
      <c r="H326" t="str">
        <f t="shared" si="33"/>
        <v>ΝΑΙ</v>
      </c>
      <c r="I326" t="str">
        <f>LOOKUP(B326,ΠΕΡΙΦΕΡΕΙΑ!$A$2:$A$14,ΠΕΡΙΦΕΡΕΙΑ!$B$2:$B$14)</f>
        <v>Μερική</v>
      </c>
      <c r="J326">
        <f>IF(OR(AND(I326="Μερική",H326="ΝΑΙ"),I326="Ολική"),A326,"")</f>
        <v>325</v>
      </c>
      <c r="K326" t="e">
        <f>SMALL(J:J,A326)</f>
        <v>#NUM!</v>
      </c>
      <c r="L326" t="str">
        <f>IF(ISNUMBER(K326),LOOKUP(K326,A:A,B:B),"")</f>
        <v/>
      </c>
      <c r="M326" t="str">
        <f t="shared" si="35"/>
        <v/>
      </c>
      <c r="N326" t="str">
        <f>IF(ISNUMBER(K326),LOOKUP(K326,A:A,G:G),"")</f>
        <v/>
      </c>
      <c r="O326" t="str">
        <f>IF(ISNUMBER(K326),LOOKUP(K326,A:A,F:F),"")</f>
        <v/>
      </c>
    </row>
  </sheetData>
  <hyperlinks>
    <hyperlink ref="D309" r:id="rId1" tooltip="Δήμος Δωρίδας" display="http://www.dimosprofile.gr/media/dimos-doridas/" xr:uid="{00000000-0004-0000-0300-000000000000}"/>
    <hyperlink ref="D318" r:id="rId2" tooltip="Δήμος Λοκρών" display="http://www.dimosprofile.gr/media/dimos-lokron/" xr:uid="{00000000-0004-0000-0300-000001000000}"/>
    <hyperlink ref="D315" r:id="rId3" display="http://www.dimosprofile.gr/media/dimos-kymis/" xr:uid="{00000000-0004-0000-0300-000002000000}"/>
    <hyperlink ref="D314" r:id="rId4" tooltip="Δήμος Καρύστου" display="http://www.dimosprofile.gr/media/dimos-karistou/" xr:uid="{00000000-0004-0000-0300-000003000000}"/>
    <hyperlink ref="D311" r:id="rId5" display="http://www.dimosprofile.gr/media/dimos-thivas/" xr:uid="{00000000-0004-0000-0300-000004000000}"/>
    <hyperlink ref="D291" r:id="rId6" tooltip="Δήμος Μονεμβασιάς" display="http://www.dimosprofile.gr/media/dimos-monevasias/" xr:uid="{00000000-0004-0000-0300-000005000000}"/>
    <hyperlink ref="D294" r:id="rId7" display="http://www.dimosprofile.gr/media/dimos-notias-kinoyrias/" xr:uid="{00000000-0004-0000-0300-000006000000}"/>
    <hyperlink ref="D249" r:id="rId8" display="http://www.dimosprofile.gr/media/dimos-iou/" xr:uid="{00000000-0004-0000-0300-000007000000}"/>
    <hyperlink ref="D228" r:id="rId9" display="http://www.dimosprofile.gr/media/dimos-ierapetras/" xr:uid="{00000000-0004-0000-0300-000008000000}"/>
    <hyperlink ref="D190" r:id="rId10" tooltip="Δήμος Έδεσσας" display="http://www.dimosprofile.gr/media/dimos-edessas/" xr:uid="{00000000-0004-0000-0300-000009000000}"/>
    <hyperlink ref="D175" r:id="rId11" display="http://www.dimosprofile.gr/media/dimos-kerkyras/" xr:uid="{00000000-0004-0000-0300-00000A000000}"/>
    <hyperlink ref="D154" r:id="rId12" display="http://www.dimosprofile.gr/media/dimos-mouresiou/" xr:uid="{00000000-0004-0000-0300-00000B000000}"/>
    <hyperlink ref="D144" r:id="rId13" tooltip="Δήμος Πρέβεζας" display="http://www.dimosprofile.gr/media/dimos-prevezas/" xr:uid="{00000000-0004-0000-0300-00000C000000}"/>
    <hyperlink ref="D129" r:id="rId14" display="http://www.dimosprofile.gr/media/dimos-florinas/" xr:uid="{00000000-0004-0000-0300-00000D000000}"/>
    <hyperlink ref="D100" r:id="rId15" display="http://www.dimosprofile.gr/media/dimos-aigialias/" xr:uid="{00000000-0004-0000-0300-00000E000000}"/>
    <hyperlink ref="D113" r:id="rId16" display="http://www.dimosprofile.gr/media/dimos-nafpaktias/" xr:uid="{00000000-0004-0000-0300-00000F000000}"/>
    <hyperlink ref="D91" r:id="rId17" tooltip="Δήμος Ικαρίας" display="http://www.dimosprofile.gr/media/dimos-ikarias/" xr:uid="{00000000-0004-0000-0300-000010000000}"/>
    <hyperlink ref="D81" r:id="rId18" display="http://www.dimosprofile.gr/media/dimos-spetson/" xr:uid="{00000000-0004-0000-0300-000011000000}"/>
    <hyperlink ref="D21" r:id="rId19" tooltip="Δήμος Σαμοθράκης" display="http://www.dimosprofile.gr/media/dimos-samothrakis/" xr:uid="{00000000-0004-0000-0300-000012000000}"/>
  </hyperlinks>
  <pageMargins left="0.7" right="0.7" top="0.75" bottom="0.75" header="0.3" footer="0.3"/>
  <pageSetup paperSize="9" orientation="portrait" r:id="rId20"/>
  <headerFooter>
    <oddFooter>&amp;L&amp;1#&amp;"Calibri"&amp;7&amp;K000000C2 General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M12"/>
  <sheetViews>
    <sheetView topLeftCell="A2" zoomScaleNormal="100" workbookViewId="0">
      <selection activeCell="E3" sqref="E3"/>
    </sheetView>
  </sheetViews>
  <sheetFormatPr defaultColWidth="9.109375" defaultRowHeight="14.4" zeroHeight="1" x14ac:dyDescent="0.3"/>
  <cols>
    <col min="1" max="1" width="50" style="124" customWidth="1"/>
    <col min="2" max="4" width="23" style="124" hidden="1" customWidth="1"/>
    <col min="5" max="5" width="46.33203125" style="124" customWidth="1"/>
    <col min="6" max="6" width="46.33203125" style="124" hidden="1" customWidth="1"/>
    <col min="7" max="7" width="17.33203125" style="124" customWidth="1"/>
    <col min="8" max="8" width="36.44140625" style="124" customWidth="1"/>
    <col min="9" max="9" width="24" style="124" hidden="1" customWidth="1"/>
    <col min="10" max="10" width="33.88671875" style="124" customWidth="1"/>
    <col min="11" max="11" width="7.109375" style="124" customWidth="1"/>
    <col min="12" max="12" width="13" style="124" customWidth="1"/>
    <col min="13" max="13" width="58.88671875" style="124" customWidth="1"/>
    <col min="14" max="16384" width="9.109375" style="124"/>
  </cols>
  <sheetData>
    <row r="1" spans="1:13" ht="15" hidden="1" thickBot="1" x14ac:dyDescent="0.35">
      <c r="A1" t="s">
        <v>478</v>
      </c>
      <c r="B1" t="s">
        <v>479</v>
      </c>
      <c r="C1" s="144" t="s">
        <v>539</v>
      </c>
      <c r="D1" s="144" t="s">
        <v>540</v>
      </c>
      <c r="E1" s="80" t="s">
        <v>480</v>
      </c>
      <c r="F1" s="80" t="s">
        <v>874</v>
      </c>
      <c r="G1" s="80" t="s">
        <v>481</v>
      </c>
      <c r="H1" s="80" t="s">
        <v>482</v>
      </c>
      <c r="I1" s="80" t="s">
        <v>483</v>
      </c>
      <c r="J1" s="80" t="s">
        <v>484</v>
      </c>
      <c r="L1" t="s">
        <v>482</v>
      </c>
      <c r="M1" t="s">
        <v>482</v>
      </c>
    </row>
    <row r="2" spans="1:13" ht="33.75" customHeight="1" thickBot="1" x14ac:dyDescent="0.35">
      <c r="A2" s="3" t="s">
        <v>420</v>
      </c>
      <c r="B2" s="4" t="s">
        <v>27</v>
      </c>
      <c r="C2" s="4"/>
      <c r="D2" s="4"/>
      <c r="E2" s="4" t="s">
        <v>527</v>
      </c>
      <c r="F2" s="4"/>
      <c r="G2" s="4" t="s">
        <v>460</v>
      </c>
      <c r="H2" s="116" t="s">
        <v>513</v>
      </c>
      <c r="I2" s="72" t="s">
        <v>449</v>
      </c>
      <c r="J2" s="73" t="s">
        <v>419</v>
      </c>
      <c r="L2" s="85" t="s">
        <v>447</v>
      </c>
      <c r="M2" s="86" t="s">
        <v>525</v>
      </c>
    </row>
    <row r="3" spans="1:13" ht="29.25" customHeight="1" thickTop="1" x14ac:dyDescent="0.3">
      <c r="A3" s="76" t="s">
        <v>456</v>
      </c>
      <c r="B3" s="5" t="str">
        <f>ΓΕΝΙΚΑ!C4</f>
        <v>VODAFONE</v>
      </c>
      <c r="C3" s="143" t="s">
        <v>873</v>
      </c>
      <c r="D3" s="177" t="s">
        <v>872</v>
      </c>
      <c r="E3" s="94" t="s">
        <v>885</v>
      </c>
      <c r="F3" s="179" t="s">
        <v>872</v>
      </c>
      <c r="G3" s="114" t="s">
        <v>461</v>
      </c>
      <c r="H3" s="118">
        <f>$H$5</f>
        <v>0.06</v>
      </c>
      <c r="I3" s="173">
        <f>IF(ISNUMBER(H$5),ROUND(H$5,2),"N/A")</f>
        <v>0.06</v>
      </c>
      <c r="J3" s="176" t="s">
        <v>884</v>
      </c>
      <c r="L3" s="82" t="str">
        <f>IF(M3="","","ΣΦΑΛΜΑ")</f>
        <v/>
      </c>
      <c r="M3" s="100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/>
      </c>
    </row>
    <row r="4" spans="1:13" ht="29.25" customHeight="1" x14ac:dyDescent="0.3">
      <c r="A4" s="49" t="str">
        <f t="shared" ref="A4:A11" si="0">$A$3</f>
        <v>F01</v>
      </c>
      <c r="B4" s="81" t="str">
        <f t="shared" ref="B4:B11" si="1">$B$3</f>
        <v>VODAFONE</v>
      </c>
      <c r="C4" s="143" t="s">
        <v>873</v>
      </c>
      <c r="D4" s="177" t="s">
        <v>872</v>
      </c>
      <c r="E4" s="60" t="s">
        <v>880</v>
      </c>
      <c r="F4" s="180" t="s">
        <v>872</v>
      </c>
      <c r="G4" s="115" t="s">
        <v>461</v>
      </c>
      <c r="H4" s="119">
        <f>$H$5</f>
        <v>0.06</v>
      </c>
      <c r="I4" s="173">
        <f>IF(ISNUMBER(H$5),ROUND(H$5,2),"N/A")</f>
        <v>0.06</v>
      </c>
      <c r="J4" s="151" t="str">
        <f t="shared" ref="J4:J11" si="2">J$3</f>
        <v>Μετρήσεις πραγματοποιήθηκαν από 1/7/2021 και για έξι μήνες</v>
      </c>
      <c r="L4" s="83" t="str">
        <f t="shared" ref="L4:L12" si="3">IF(M4="","","ΣΦΑΛΜΑ")</f>
        <v/>
      </c>
      <c r="M4" s="100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29.25" customHeight="1" x14ac:dyDescent="0.3">
      <c r="A5" s="49" t="str">
        <f t="shared" si="0"/>
        <v>F01</v>
      </c>
      <c r="B5" s="81" t="str">
        <f t="shared" si="1"/>
        <v>VODAFONE</v>
      </c>
      <c r="C5" s="143">
        <v>15300</v>
      </c>
      <c r="D5" s="143" t="s">
        <v>485</v>
      </c>
      <c r="E5" s="60" t="s">
        <v>881</v>
      </c>
      <c r="F5" s="178" t="str">
        <f>CONCATENATE(E3,", ",E4,", ",E5,", ",E6,", ",E7)</f>
        <v>ΑΤΤΙΚΗΣ - ΚΗΦΙΣΙΑΣ, ΚΕΝΤΡΙΚΗΣ ΜΑΚΕΔΟΝΙΑΣ - ΠΑΥΛΟΥ ΜΕΛΑ, ΘΕΣΣΑΛΙΑΣ - ΛΑΡΙΣΑΙΩΝ, ΔΥΤΙΚΗΣ ΕΛΛΑΔΑΣ - ΠΑΤΡΕΩΝ, ΚΕΝΤΡΙΚΗΣ ΜΑΚΕΔΟΝΙΑΣ - ΒΕΡΟΙΑΣ</v>
      </c>
      <c r="G5" s="115" t="s">
        <v>461</v>
      </c>
      <c r="H5" s="117">
        <v>0.06</v>
      </c>
      <c r="I5" s="173">
        <f>IF(ISNUMBER(H$5),ROUND(H$5,2),"N/A")</f>
        <v>0.06</v>
      </c>
      <c r="J5" s="151" t="str">
        <f t="shared" si="2"/>
        <v>Μετρήσεις πραγματοποιήθηκαν από 1/7/2021 και για έξι μήνες</v>
      </c>
      <c r="L5" s="83" t="str">
        <f t="shared" si="3"/>
        <v/>
      </c>
      <c r="M5" s="100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/>
      </c>
    </row>
    <row r="6" spans="1:13" ht="29.25" customHeight="1" x14ac:dyDescent="0.3">
      <c r="A6" s="49" t="str">
        <f t="shared" si="0"/>
        <v>F01</v>
      </c>
      <c r="B6" s="81" t="str">
        <f t="shared" si="1"/>
        <v>VODAFONE</v>
      </c>
      <c r="C6" s="143" t="s">
        <v>873</v>
      </c>
      <c r="D6" s="177" t="s">
        <v>872</v>
      </c>
      <c r="E6" s="60" t="s">
        <v>882</v>
      </c>
      <c r="F6" s="180" t="s">
        <v>872</v>
      </c>
      <c r="G6" s="115" t="s">
        <v>461</v>
      </c>
      <c r="H6" s="119">
        <f>$H$5</f>
        <v>0.06</v>
      </c>
      <c r="I6" s="173">
        <f>IF(ISNUMBER(H$5),ROUND(H$5,2),"N/A")</f>
        <v>0.06</v>
      </c>
      <c r="J6" s="151" t="str">
        <f t="shared" si="2"/>
        <v>Μετρήσεις πραγματοποιήθηκαν από 1/7/2021 και για έξι μήνες</v>
      </c>
      <c r="L6" s="83" t="str">
        <f t="shared" si="3"/>
        <v/>
      </c>
      <c r="M6" s="100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29.25" customHeight="1" x14ac:dyDescent="0.3">
      <c r="A7" s="49" t="str">
        <f t="shared" si="0"/>
        <v>F01</v>
      </c>
      <c r="B7" s="81" t="str">
        <f t="shared" si="1"/>
        <v>VODAFONE</v>
      </c>
      <c r="C7" s="143" t="s">
        <v>873</v>
      </c>
      <c r="D7" s="177" t="s">
        <v>872</v>
      </c>
      <c r="E7" s="60" t="s">
        <v>883</v>
      </c>
      <c r="F7" s="180" t="s">
        <v>872</v>
      </c>
      <c r="G7" s="115" t="s">
        <v>461</v>
      </c>
      <c r="H7" s="120">
        <f>$H$5</f>
        <v>0.06</v>
      </c>
      <c r="I7" s="173">
        <f>IF(ISNUMBER(H$5),ROUND(H$5,2),"N/A")</f>
        <v>0.06</v>
      </c>
      <c r="J7" s="151" t="str">
        <f t="shared" si="2"/>
        <v>Μετρήσεις πραγματοποιήθηκαν από 1/7/2021 και για έξι μήνες</v>
      </c>
      <c r="L7" s="83" t="str">
        <f t="shared" si="3"/>
        <v/>
      </c>
      <c r="M7" s="100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29.25" customHeight="1" x14ac:dyDescent="0.3">
      <c r="A8" s="49" t="str">
        <f t="shared" si="0"/>
        <v>F01</v>
      </c>
      <c r="B8" s="81" t="str">
        <f t="shared" si="1"/>
        <v>VODAFONE</v>
      </c>
      <c r="C8" s="143" t="s">
        <v>873</v>
      </c>
      <c r="D8" s="177" t="s">
        <v>872</v>
      </c>
      <c r="E8" s="79" t="str">
        <f>IF(E3="","",E3)</f>
        <v>ΑΤΤΙΚΗΣ - ΚΗΦΙΣΙΑΣ</v>
      </c>
      <c r="F8" s="181" t="s">
        <v>872</v>
      </c>
      <c r="G8" s="115" t="s">
        <v>462</v>
      </c>
      <c r="H8" s="119">
        <f>$H$10</f>
        <v>0.09</v>
      </c>
      <c r="I8" s="174">
        <f>IF(ISNUMBER(H$10),ROUND(H$10,2),"N/A")</f>
        <v>0.09</v>
      </c>
      <c r="J8" s="151" t="str">
        <f t="shared" si="2"/>
        <v>Μετρήσεις πραγματοποιήθηκαν από 1/7/2021 και για έξι μήνες</v>
      </c>
      <c r="L8" s="83" t="str">
        <f t="shared" si="3"/>
        <v/>
      </c>
      <c r="M8" s="100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/>
      </c>
    </row>
    <row r="9" spans="1:13" ht="29.25" customHeight="1" x14ac:dyDescent="0.3">
      <c r="A9" s="49" t="str">
        <f t="shared" si="0"/>
        <v>F01</v>
      </c>
      <c r="B9" s="81" t="str">
        <f t="shared" si="1"/>
        <v>VODAFONE</v>
      </c>
      <c r="C9" s="143" t="s">
        <v>873</v>
      </c>
      <c r="D9" s="177" t="s">
        <v>872</v>
      </c>
      <c r="E9" s="79" t="str">
        <f>IF(E4="","",E4)</f>
        <v>ΚΕΝΤΡΙΚΗΣ ΜΑΚΕΔΟΝΙΑΣ - ΠΑΥΛΟΥ ΜΕΛΑ</v>
      </c>
      <c r="F9" s="181" t="s">
        <v>872</v>
      </c>
      <c r="G9" s="115" t="s">
        <v>462</v>
      </c>
      <c r="H9" s="119">
        <f>$H$10</f>
        <v>0.09</v>
      </c>
      <c r="I9" s="174">
        <f>IF(ISNUMBER(H$10),ROUND(H$10,2),"N/A")</f>
        <v>0.09</v>
      </c>
      <c r="J9" s="151" t="str">
        <f t="shared" si="2"/>
        <v>Μετρήσεις πραγματοποιήθηκαν από 1/7/2021 και για έξι μήνες</v>
      </c>
      <c r="L9" s="83" t="str">
        <f t="shared" si="3"/>
        <v/>
      </c>
      <c r="M9" s="100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29.25" customHeight="1" x14ac:dyDescent="0.3">
      <c r="A10" s="49" t="str">
        <f t="shared" si="0"/>
        <v>F01</v>
      </c>
      <c r="B10" s="81" t="str">
        <f t="shared" si="1"/>
        <v>VODAFONE</v>
      </c>
      <c r="C10" s="143">
        <v>15300</v>
      </c>
      <c r="D10" s="143" t="s">
        <v>485</v>
      </c>
      <c r="E10" s="79" t="str">
        <f>IF(E5="","",E5)</f>
        <v>ΘΕΣΣΑΛΙΑΣ - ΛΑΡΙΣΑΙΩΝ</v>
      </c>
      <c r="F10" s="178" t="str">
        <f>CONCATENATE(E8,", ",E9,", ",E10,", ",E11,", ",E12)</f>
        <v>ΑΤΤΙΚΗΣ - ΚΗΦΙΣΙΑΣ, ΚΕΝΤΡΙΚΗΣ ΜΑΚΕΔΟΝΙΑΣ - ΠΑΥΛΟΥ ΜΕΛΑ, ΘΕΣΣΑΛΙΑΣ - ΛΑΡΙΣΑΙΩΝ, ΔΥΤΙΚΗΣ ΕΛΛΑΔΑΣ - ΠΑΤΡΕΩΝ, ΚΕΝΤΡΙΚΗΣ ΜΑΚΕΔΟΝΙΑΣ - ΒΕΡΟΙΑΣ</v>
      </c>
      <c r="G10" s="115" t="s">
        <v>462</v>
      </c>
      <c r="H10" s="117">
        <v>0.09</v>
      </c>
      <c r="I10" s="174">
        <f>IF(ISNUMBER(H$10),ROUND(H$10,2),"N/A")</f>
        <v>0.09</v>
      </c>
      <c r="J10" s="151" t="str">
        <f t="shared" si="2"/>
        <v>Μετρήσεις πραγματοποιήθηκαν από 1/7/2021 και για έξι μήνες</v>
      </c>
      <c r="L10" s="83" t="str">
        <f t="shared" si="3"/>
        <v/>
      </c>
      <c r="M10" s="100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/>
      </c>
    </row>
    <row r="11" spans="1:13" ht="29.25" customHeight="1" x14ac:dyDescent="0.3">
      <c r="A11" s="49" t="str">
        <f t="shared" si="0"/>
        <v>F01</v>
      </c>
      <c r="B11" s="81" t="str">
        <f t="shared" si="1"/>
        <v>VODAFONE</v>
      </c>
      <c r="C11" s="143" t="s">
        <v>873</v>
      </c>
      <c r="D11" s="177" t="s">
        <v>872</v>
      </c>
      <c r="E11" s="79" t="str">
        <f>IF(E6="","",E6)</f>
        <v>ΔΥΤΙΚΗΣ ΕΛΛΑΔΑΣ - ΠΑΤΡΕΩΝ</v>
      </c>
      <c r="F11" s="181" t="s">
        <v>872</v>
      </c>
      <c r="G11" s="115" t="s">
        <v>462</v>
      </c>
      <c r="H11" s="119">
        <f>$H$10</f>
        <v>0.09</v>
      </c>
      <c r="I11" s="174">
        <f>IF(ISNUMBER(H$10),ROUND(H$10,2),"N/A")</f>
        <v>0.09</v>
      </c>
      <c r="J11" s="151" t="str">
        <f t="shared" si="2"/>
        <v>Μετρήσεις πραγματοποιήθηκαν από 1/7/2021 και για έξι μήνες</v>
      </c>
      <c r="L11" s="83" t="str">
        <f t="shared" si="3"/>
        <v/>
      </c>
      <c r="M11" s="100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29.25" customHeight="1" thickBot="1" x14ac:dyDescent="0.35">
      <c r="A12" s="50" t="str">
        <f>$A$3</f>
        <v>F01</v>
      </c>
      <c r="B12" s="13" t="str">
        <f>$B$3</f>
        <v>VODAFONE</v>
      </c>
      <c r="C12" s="143" t="s">
        <v>873</v>
      </c>
      <c r="D12" s="177" t="s">
        <v>872</v>
      </c>
      <c r="E12" s="78" t="str">
        <f>IF(E7="","",E7)</f>
        <v>ΚΕΝΤΡΙΚΗΣ ΜΑΚΕΔΟΝΙΑΣ - ΒΕΡΟΙΑΣ</v>
      </c>
      <c r="F12" s="182" t="s">
        <v>872</v>
      </c>
      <c r="G12" s="91" t="s">
        <v>462</v>
      </c>
      <c r="H12" s="121">
        <f>$H$10</f>
        <v>0.09</v>
      </c>
      <c r="I12" s="175">
        <f>IF(ISNUMBER(H$10),ROUND(H$10,2),"N/A")</f>
        <v>0.09</v>
      </c>
      <c r="J12" s="152" t="str">
        <f>J$3</f>
        <v>Μετρήσεις πραγματοποιήθηκαν από 1/7/2021 και για έξι μήνες</v>
      </c>
      <c r="L12" s="84" t="str">
        <f t="shared" si="3"/>
        <v/>
      </c>
      <c r="M12" s="101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algorithmName="SHA-512" hashValue="TZmy/hm0UrHKmi/UIKFYPd7miMr64Gv83F9ghar23P80+kni5FsagxLDAcTC+PTev/oJ63OG2jnYBgcjqueyOg==" saltValue="D9Yu691aXFUckZts46dwEg==" spinCount="100000" sheet="1" objects="1" scenario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F7 F10" xr:uid="{00000000-0002-0000-0400-000000000000}">
      <formula1>TK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O16"/>
  <sheetViews>
    <sheetView topLeftCell="A2" zoomScaleNormal="100" workbookViewId="0">
      <selection activeCell="F13" sqref="F13"/>
    </sheetView>
  </sheetViews>
  <sheetFormatPr defaultColWidth="9.109375" defaultRowHeight="14.4" zeroHeight="1" x14ac:dyDescent="0.3"/>
  <cols>
    <col min="1" max="1" width="50" style="130" customWidth="1"/>
    <col min="2" max="2" width="23" style="130" hidden="1" customWidth="1"/>
    <col min="3" max="3" width="24.5546875" style="130" hidden="1" customWidth="1"/>
    <col min="4" max="4" width="23" style="130" hidden="1" customWidth="1"/>
    <col min="5" max="5" width="38.109375" style="130" customWidth="1"/>
    <col min="6" max="6" width="36.88671875" style="130" customWidth="1"/>
    <col min="7" max="7" width="31.33203125" style="130" hidden="1" customWidth="1"/>
    <col min="8" max="8" width="31.33203125" style="130" customWidth="1"/>
    <col min="9" max="9" width="6.109375" style="130" customWidth="1"/>
    <col min="10" max="10" width="16.109375" style="130" customWidth="1"/>
    <col min="11" max="11" width="57" style="130" customWidth="1"/>
    <col min="12" max="15" width="9.109375" style="132" customWidth="1"/>
    <col min="16" max="16384" width="9.109375" style="130"/>
  </cols>
  <sheetData>
    <row r="1" spans="1:13" ht="15" hidden="1" thickBot="1" x14ac:dyDescent="0.35">
      <c r="A1" t="s">
        <v>478</v>
      </c>
      <c r="B1" t="s">
        <v>479</v>
      </c>
      <c r="C1" s="2" t="s">
        <v>539</v>
      </c>
      <c r="D1" s="2" t="s">
        <v>540</v>
      </c>
      <c r="E1" s="2" t="s">
        <v>480</v>
      </c>
      <c r="F1" s="68" t="s">
        <v>482</v>
      </c>
      <c r="G1" s="68" t="s">
        <v>486</v>
      </c>
      <c r="H1" s="68" t="s">
        <v>484</v>
      </c>
      <c r="J1" s="68" t="s">
        <v>482</v>
      </c>
      <c r="K1" t="s">
        <v>482</v>
      </c>
    </row>
    <row r="2" spans="1:13" ht="43.8" thickBot="1" x14ac:dyDescent="0.35">
      <c r="A2" s="3" t="s">
        <v>420</v>
      </c>
      <c r="B2" s="4" t="s">
        <v>27</v>
      </c>
      <c r="C2" s="4"/>
      <c r="D2" s="4"/>
      <c r="E2" s="4" t="s">
        <v>470</v>
      </c>
      <c r="F2" s="4" t="s">
        <v>514</v>
      </c>
      <c r="G2" s="4" t="s">
        <v>458</v>
      </c>
      <c r="H2" s="73" t="s">
        <v>419</v>
      </c>
      <c r="J2" s="85" t="s">
        <v>447</v>
      </c>
      <c r="K2" s="86" t="s">
        <v>525</v>
      </c>
    </row>
    <row r="3" spans="1:13" ht="30" customHeight="1" thickTop="1" thickBot="1" x14ac:dyDescent="0.35">
      <c r="A3" s="25" t="s">
        <v>457</v>
      </c>
      <c r="B3" s="29" t="str">
        <f>ΓΕΝΙΚΑ!$C$4</f>
        <v>VODAFONE</v>
      </c>
      <c r="C3" s="32">
        <f>IF(J3="",IF(ΓΕΝΙΚΑ!$B$17="ΝΑΙ",15300,""),"")</f>
        <v>15300</v>
      </c>
      <c r="D3" s="145" t="str">
        <f>IF(ΓΕΝΙΚΑ!$B$17="ΝΑΙ","ΠΑΝΕΛΛΑΔΙΚΑ","")</f>
        <v>ΠΑΝΕΛΛΑΔΙΚΑ</v>
      </c>
      <c r="E3" s="26" t="s">
        <v>485</v>
      </c>
      <c r="F3" s="53">
        <v>0</v>
      </c>
      <c r="G3" s="184">
        <f>IF(ISNUMBER(F3),ROUND(F3,2),"N/A")</f>
        <v>0</v>
      </c>
      <c r="H3" s="183" t="s">
        <v>872</v>
      </c>
      <c r="J3" s="89" t="str">
        <f>IF(K3="","","ΣΦΑΛΜΑ")</f>
        <v/>
      </c>
      <c r="K3" s="87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/>
      </c>
    </row>
    <row r="4" spans="1:13" ht="30" customHeight="1" thickTop="1" thickBot="1" x14ac:dyDescent="0.35">
      <c r="A4" s="27" t="str">
        <f t="shared" ref="A4:A16" si="0">A$3</f>
        <v>F02</v>
      </c>
      <c r="B4" s="29" t="str">
        <f>ΓΕΝΙΚΑ!$C$4</f>
        <v>VODAFONE</v>
      </c>
      <c r="C4" s="146">
        <f>IF(J4="",IF(ΓΕΝΙΚΑ!$B$17="ΝΑΙ",14664,""),"")</f>
        <v>14664</v>
      </c>
      <c r="D4" s="147" t="str">
        <f>IF(ΓΕΝΙΚΑ!$B$17="ΝΑΙ","Π. ΑΝΑΤΟΛΙΚΗΣ ΜΑΚΕΔΟΝΙΑΣ - ΘΡΑΚΗΣ","")</f>
        <v>Π. ΑΝΑΤΟΛΙΚΗΣ ΜΑΚΕΔΟΝΙΑΣ - ΘΡΑΚΗΣ</v>
      </c>
      <c r="E4" s="40" t="s">
        <v>37</v>
      </c>
      <c r="F4" s="54">
        <v>0</v>
      </c>
      <c r="G4" s="184">
        <f t="shared" ref="G4:G16" si="1">IF(ISNUMBER(F4),ROUND(F4,2),"N/A")</f>
        <v>0</v>
      </c>
      <c r="H4" s="151" t="str">
        <f>H$3</f>
        <v/>
      </c>
      <c r="J4" s="89" t="str">
        <f t="shared" ref="J4:J16" si="2">IF(K4="","","ΣΦΑΛΜΑ")</f>
        <v/>
      </c>
      <c r="K4" s="87" t="str">
        <f>IF(ΠΕΡΙΦΕΡΕΙΑ!B2&lt;&gt;"Καθόλου",L4,M4)</f>
        <v/>
      </c>
      <c r="L4" s="132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/>
      </c>
      <c r="M4" s="132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5">
      <c r="A5" s="27" t="str">
        <f t="shared" si="0"/>
        <v>F02</v>
      </c>
      <c r="B5" s="29" t="str">
        <f>ΓΕΝΙΚΑ!$C$4</f>
        <v>VODAFONE</v>
      </c>
      <c r="C5" s="31">
        <f>IF(J5="",IF(ΓΕΝΙΚΑ!$B$17="ΝΑΙ",14666,""),"")</f>
        <v>14666</v>
      </c>
      <c r="D5" s="148" t="str">
        <f>IF(ΓΕΝΙΚΑ!$B$17="ΝΑΙ","Π. ΑΤΤΙΚΗΣ","")</f>
        <v>Π. ΑΤΤΙΚΗΣ</v>
      </c>
      <c r="E5" s="8" t="s">
        <v>38</v>
      </c>
      <c r="F5" s="54">
        <v>0</v>
      </c>
      <c r="G5" s="184">
        <f t="shared" si="1"/>
        <v>0</v>
      </c>
      <c r="H5" s="151" t="str">
        <f t="shared" ref="H5:H16" si="3">H$3</f>
        <v/>
      </c>
      <c r="J5" s="89" t="str">
        <f t="shared" si="2"/>
        <v/>
      </c>
      <c r="K5" s="87" t="str">
        <f>IF(ΠΕΡΙΦΕΡΕΙΑ!B3&lt;&gt;"Καθόλου",L5,M5)</f>
        <v/>
      </c>
      <c r="L5" s="132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/>
      </c>
      <c r="M5" s="132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5">
      <c r="A6" s="27" t="str">
        <f t="shared" si="0"/>
        <v>F02</v>
      </c>
      <c r="B6" s="29" t="str">
        <f>ΓΕΝΙΚΑ!$C$4</f>
        <v>VODAFONE</v>
      </c>
      <c r="C6" s="146">
        <f>IF(J6="",IF(ΓΕΝΙΚΑ!$B$17="ΝΑΙ",14668,""),"")</f>
        <v>14668</v>
      </c>
      <c r="D6" s="147" t="str">
        <f>IF(ΓΕΝΙΚΑ!$B$17="ΝΑΙ","Π. ΒΟΡΕΙΟΥ ΑΙΓΑΙΟΥ","")</f>
        <v>Π. ΒΟΡΕΙΟΥ ΑΙΓΑΙΟΥ</v>
      </c>
      <c r="E6" s="40" t="s">
        <v>402</v>
      </c>
      <c r="F6" s="54">
        <v>0</v>
      </c>
      <c r="G6" s="184">
        <f t="shared" si="1"/>
        <v>0</v>
      </c>
      <c r="H6" s="151" t="str">
        <f t="shared" si="3"/>
        <v/>
      </c>
      <c r="J6" s="89" t="str">
        <f t="shared" si="2"/>
        <v/>
      </c>
      <c r="K6" s="87" t="str">
        <f>IF(ΠΕΡΙΦΕΡΕΙΑ!B4&lt;&gt;"Καθόλου",L6,M6)</f>
        <v/>
      </c>
      <c r="L6" s="132" t="str">
        <f t="shared" si="4"/>
        <v/>
      </c>
      <c r="M6" s="132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5">
      <c r="A7" s="27" t="str">
        <f t="shared" si="0"/>
        <v>F02</v>
      </c>
      <c r="B7" s="29" t="str">
        <f>ΓΕΝΙΚΑ!$C$4</f>
        <v>VODAFONE</v>
      </c>
      <c r="C7" s="31">
        <f>IF(J7="",IF(ΓΕΝΙΚΑ!$B$17="ΝΑΙ",14670,""),"")</f>
        <v>14670</v>
      </c>
      <c r="D7" s="148" t="str">
        <f>IF(ΓΕΝΙΚΑ!$B$17="ΝΑΙ","Π. ΔΥΤΙΚΗΣ ΕΛΛΑΔΑΣ","")</f>
        <v>Π. ΔΥΤΙΚΗΣ ΕΛΛΑΔΑΣ</v>
      </c>
      <c r="E7" s="8" t="s">
        <v>403</v>
      </c>
      <c r="F7" s="54">
        <v>0</v>
      </c>
      <c r="G7" s="184">
        <f t="shared" si="1"/>
        <v>0</v>
      </c>
      <c r="H7" s="151" t="str">
        <f t="shared" si="3"/>
        <v/>
      </c>
      <c r="J7" s="89" t="str">
        <f t="shared" si="2"/>
        <v/>
      </c>
      <c r="K7" s="87" t="str">
        <f>IF(ΠΕΡΙΦΕΡΕΙΑ!B5&lt;&gt;"Καθόλου",L7,M7)</f>
        <v/>
      </c>
      <c r="L7" s="132" t="str">
        <f t="shared" si="4"/>
        <v/>
      </c>
      <c r="M7" s="132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5">
      <c r="A8" s="27" t="str">
        <f t="shared" si="0"/>
        <v>F02</v>
      </c>
      <c r="B8" s="29" t="str">
        <f>ΓΕΝΙΚΑ!$C$4</f>
        <v>VODAFONE</v>
      </c>
      <c r="C8" s="146">
        <f>IF(J8="",IF(ΓΕΝΙΚΑ!$B$17="ΝΑΙ",14672,""),"")</f>
        <v>14672</v>
      </c>
      <c r="D8" s="147" t="str">
        <f>IF(ΓΕΝΙΚΑ!$B$17="ΝΑΙ","Π. ΔΥΤΙΚΗΣ ΜΑΚΕΔΟΝΙΑΣ","")</f>
        <v>Π. ΔΥΤΙΚΗΣ ΜΑΚΕΔΟΝΙΑΣ</v>
      </c>
      <c r="E8" s="40" t="s">
        <v>404</v>
      </c>
      <c r="F8" s="54">
        <v>0</v>
      </c>
      <c r="G8" s="184">
        <f t="shared" si="1"/>
        <v>0</v>
      </c>
      <c r="H8" s="151" t="str">
        <f t="shared" si="3"/>
        <v/>
      </c>
      <c r="J8" s="89" t="str">
        <f t="shared" si="2"/>
        <v/>
      </c>
      <c r="K8" s="87" t="str">
        <f>IF(ΠΕΡΙΦΕΡΕΙΑ!B6&lt;&gt;"Καθόλου",L8,M8)</f>
        <v/>
      </c>
      <c r="L8" s="132" t="str">
        <f t="shared" si="4"/>
        <v/>
      </c>
      <c r="M8" s="132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5">
      <c r="A9" s="27" t="str">
        <f t="shared" si="0"/>
        <v>F02</v>
      </c>
      <c r="B9" s="29" t="str">
        <f>ΓΕΝΙΚΑ!$C$4</f>
        <v>VODAFONE</v>
      </c>
      <c r="C9" s="31">
        <f>IF(J9="",IF(ΓΕΝΙΚΑ!$B$17="ΝΑΙ",14674,""),"")</f>
        <v>14674</v>
      </c>
      <c r="D9" s="148" t="str">
        <f>IF(ΓΕΝΙΚΑ!$B$17="ΝΑΙ","Π. ΗΠΕΙΡΟΥ","")</f>
        <v>Π. ΗΠΕΙΡΟΥ</v>
      </c>
      <c r="E9" s="8" t="s">
        <v>405</v>
      </c>
      <c r="F9" s="54">
        <v>0</v>
      </c>
      <c r="G9" s="184">
        <f t="shared" si="1"/>
        <v>0</v>
      </c>
      <c r="H9" s="151" t="str">
        <f t="shared" si="3"/>
        <v/>
      </c>
      <c r="J9" s="89" t="str">
        <f t="shared" si="2"/>
        <v/>
      </c>
      <c r="K9" s="87" t="str">
        <f>IF(ΠΕΡΙΦΕΡΕΙΑ!B7&lt;&gt;"Καθόλου",L9,M9)</f>
        <v/>
      </c>
      <c r="L9" s="132" t="str">
        <f t="shared" si="4"/>
        <v/>
      </c>
      <c r="M9" s="132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5">
      <c r="A10" s="27" t="str">
        <f t="shared" si="0"/>
        <v>F02</v>
      </c>
      <c r="B10" s="29" t="str">
        <f>ΓΕΝΙΚΑ!$C$4</f>
        <v>VODAFONE</v>
      </c>
      <c r="C10" s="146">
        <f>IF(J10="",IF(ΓΕΝΙΚΑ!$B$17="ΝΑΙ",14676,""),"")</f>
        <v>14676</v>
      </c>
      <c r="D10" s="147" t="str">
        <f>IF(ΓΕΝΙΚΑ!$B$17="ΝΑΙ","Π. ΘΕΣΣΑΛΙΑΣ","")</f>
        <v>Π. ΘΕΣΣΑΛΙΑΣ</v>
      </c>
      <c r="E10" s="40" t="s">
        <v>406</v>
      </c>
      <c r="F10" s="54">
        <v>0</v>
      </c>
      <c r="G10" s="184">
        <f t="shared" si="1"/>
        <v>0</v>
      </c>
      <c r="H10" s="151" t="str">
        <f t="shared" si="3"/>
        <v/>
      </c>
      <c r="J10" s="89" t="str">
        <f t="shared" si="2"/>
        <v/>
      </c>
      <c r="K10" s="87" t="str">
        <f>IF(ΠΕΡΙΦΕΡΕΙΑ!B8&lt;&gt;"Καθόλου",L10,M10)</f>
        <v/>
      </c>
      <c r="L10" s="132" t="str">
        <f t="shared" si="4"/>
        <v/>
      </c>
      <c r="M10" s="132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5">
      <c r="A11" s="27" t="str">
        <f t="shared" si="0"/>
        <v>F02</v>
      </c>
      <c r="B11" s="29" t="str">
        <f>ΓΕΝΙΚΑ!$C$4</f>
        <v>VODAFONE</v>
      </c>
      <c r="C11" s="31">
        <f>IF(J11="",IF(ΓΕΝΙΚΑ!$B$17="ΝΑΙ",14678,""),"")</f>
        <v>14678</v>
      </c>
      <c r="D11" s="148" t="str">
        <f>IF(ΓΕΝΙΚΑ!$B$17="ΝΑΙ","Π. ΙΟΝΙΩΝ ΝΗΣΩΝ","")</f>
        <v>Π. ΙΟΝΙΩΝ ΝΗΣΩΝ</v>
      </c>
      <c r="E11" s="8" t="s">
        <v>407</v>
      </c>
      <c r="F11" s="54">
        <v>0</v>
      </c>
      <c r="G11" s="184">
        <f t="shared" si="1"/>
        <v>0</v>
      </c>
      <c r="H11" s="151" t="str">
        <f t="shared" si="3"/>
        <v/>
      </c>
      <c r="J11" s="89" t="str">
        <f t="shared" si="2"/>
        <v/>
      </c>
      <c r="K11" s="87" t="str">
        <f>IF(ΠΕΡΙΦΕΡΕΙΑ!B9&lt;&gt;"Καθόλου",L11,M11)</f>
        <v/>
      </c>
      <c r="L11" s="132" t="str">
        <f t="shared" si="4"/>
        <v/>
      </c>
      <c r="M11" s="132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5">
      <c r="A12" s="27" t="str">
        <f t="shared" si="0"/>
        <v>F02</v>
      </c>
      <c r="B12" s="29" t="str">
        <f>ΓΕΝΙΚΑ!$C$4</f>
        <v>VODAFONE</v>
      </c>
      <c r="C12" s="146">
        <f>IF(J12="",IF(ΓΕΝΙΚΑ!$B$17="ΝΑΙ",14680,""),"")</f>
        <v>14680</v>
      </c>
      <c r="D12" s="147" t="str">
        <f>IF(ΓΕΝΙΚΑ!$B$17="ΝΑΙ","Π. ΚΕΝΤΡΙΚΗΣ ΜΑΚΕΔΟΝΙΑΣ","")</f>
        <v>Π. ΚΕΝΤΡΙΚΗΣ ΜΑΚΕΔΟΝΙΑΣ</v>
      </c>
      <c r="E12" s="40" t="s">
        <v>408</v>
      </c>
      <c r="F12" s="54">
        <v>0</v>
      </c>
      <c r="G12" s="184">
        <f t="shared" si="1"/>
        <v>0</v>
      </c>
      <c r="H12" s="151" t="str">
        <f t="shared" si="3"/>
        <v/>
      </c>
      <c r="J12" s="89" t="str">
        <f t="shared" si="2"/>
        <v/>
      </c>
      <c r="K12" s="87" t="str">
        <f>IF(ΠΕΡΙΦΕΡΕΙΑ!B10&lt;&gt;"Καθόλου",L12,M12)</f>
        <v/>
      </c>
      <c r="L12" s="132" t="str">
        <f t="shared" si="4"/>
        <v/>
      </c>
      <c r="M12" s="132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5">
      <c r="A13" s="27" t="str">
        <f t="shared" si="0"/>
        <v>F02</v>
      </c>
      <c r="B13" s="29" t="str">
        <f>ΓΕΝΙΚΑ!$C$4</f>
        <v>VODAFONE</v>
      </c>
      <c r="C13" s="31">
        <f>IF(J13="",IF(ΓΕΝΙΚΑ!$B$17="ΝΑΙ",14682,""),"")</f>
        <v>14682</v>
      </c>
      <c r="D13" s="148" t="str">
        <f>IF(ΓΕΝΙΚΑ!$B$17="ΝΑΙ","Π. ΚΡΗΤΗΣ","")</f>
        <v>Π. ΚΡΗΤΗΣ</v>
      </c>
      <c r="E13" s="8" t="s">
        <v>409</v>
      </c>
      <c r="F13" s="54">
        <v>0</v>
      </c>
      <c r="G13" s="184">
        <f t="shared" si="1"/>
        <v>0</v>
      </c>
      <c r="H13" s="151" t="str">
        <f t="shared" si="3"/>
        <v/>
      </c>
      <c r="J13" s="89" t="str">
        <f t="shared" si="2"/>
        <v/>
      </c>
      <c r="K13" s="87" t="str">
        <f>IF(ΠΕΡΙΦΕΡΕΙΑ!B11&lt;&gt;"Καθόλου",L13,M13)</f>
        <v/>
      </c>
      <c r="L13" s="132" t="str">
        <f t="shared" si="4"/>
        <v/>
      </c>
      <c r="M13" s="132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5">
      <c r="A14" s="27" t="str">
        <f t="shared" si="0"/>
        <v>F02</v>
      </c>
      <c r="B14" s="29" t="str">
        <f>ΓΕΝΙΚΑ!$C$4</f>
        <v>VODAFONE</v>
      </c>
      <c r="C14" s="146">
        <f>IF(J14="",IF(ΓΕΝΙΚΑ!$B$17="ΝΑΙ",14684,""),"")</f>
        <v>14684</v>
      </c>
      <c r="D14" s="147" t="str">
        <f>IF(ΓΕΝΙΚΑ!$B$17="ΝΑΙ","Π. ΝΟΤΙΟΥ ΑΙΓΑΙΟΥ","")</f>
        <v>Π. ΝΟΤΙΟΥ ΑΙΓΑΙΟΥ</v>
      </c>
      <c r="E14" s="40" t="s">
        <v>410</v>
      </c>
      <c r="F14" s="54">
        <v>0</v>
      </c>
      <c r="G14" s="184">
        <f t="shared" si="1"/>
        <v>0</v>
      </c>
      <c r="H14" s="151" t="str">
        <f t="shared" si="3"/>
        <v/>
      </c>
      <c r="J14" s="89" t="str">
        <f t="shared" si="2"/>
        <v/>
      </c>
      <c r="K14" s="87" t="str">
        <f>IF(ΠΕΡΙΦΕΡΕΙΑ!B12&lt;&gt;"Καθόλου",L14,M14)</f>
        <v/>
      </c>
      <c r="L14" s="132" t="str">
        <f t="shared" si="4"/>
        <v/>
      </c>
      <c r="M14" s="132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5">
      <c r="A15" s="27" t="str">
        <f t="shared" si="0"/>
        <v>F02</v>
      </c>
      <c r="B15" s="29" t="str">
        <f>ΓΕΝΙΚΑ!$C$4</f>
        <v>VODAFONE</v>
      </c>
      <c r="C15" s="31">
        <f>IF(J15="",IF(ΓΕΝΙΚΑ!$B$17="ΝΑΙ",14686,""),"")</f>
        <v>14686</v>
      </c>
      <c r="D15" s="148" t="str">
        <f>IF(ΓΕΝΙΚΑ!$B$17="ΝΑΙ","Π. ΠΕΛΟΠΟΝΝΗΣΟΥ","")</f>
        <v>Π. ΠΕΛΟΠΟΝΝΗΣΟΥ</v>
      </c>
      <c r="E15" s="8" t="s">
        <v>411</v>
      </c>
      <c r="F15" s="54">
        <v>0</v>
      </c>
      <c r="G15" s="184">
        <f t="shared" si="1"/>
        <v>0</v>
      </c>
      <c r="H15" s="151" t="str">
        <f t="shared" si="3"/>
        <v/>
      </c>
      <c r="J15" s="89" t="str">
        <f t="shared" si="2"/>
        <v/>
      </c>
      <c r="K15" s="87" t="str">
        <f>IF(ΠΕΡΙΦΕΡΕΙΑ!B13&lt;&gt;"Καθόλου",L15,M15)</f>
        <v/>
      </c>
      <c r="L15" s="132" t="str">
        <f t="shared" si="4"/>
        <v/>
      </c>
      <c r="M15" s="132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5">
      <c r="A16" s="28" t="str">
        <f t="shared" si="0"/>
        <v>F02</v>
      </c>
      <c r="B16" s="29" t="str">
        <f>ΓΕΝΙΚΑ!$C$4</f>
        <v>VODAFONE</v>
      </c>
      <c r="C16" s="149">
        <f>IF(J16="",IF(ΓΕΝΙΚΑ!$B$17="ΝΑΙ",14688,""),"")</f>
        <v>14688</v>
      </c>
      <c r="D16" s="150" t="str">
        <f>IF(ΓΕΝΙΚΑ!$B$17="ΝΑΙ","Π. ΣΤΕΡΕΑΣ ΕΛΛΑΔΑΣ","")</f>
        <v>Π. ΣΤΕΡΕΑΣ ΕΛΛΑΔΑΣ</v>
      </c>
      <c r="E16" s="41" t="s">
        <v>412</v>
      </c>
      <c r="F16" s="55">
        <v>0</v>
      </c>
      <c r="G16" s="184">
        <f t="shared" si="1"/>
        <v>0</v>
      </c>
      <c r="H16" s="152" t="str">
        <f t="shared" si="3"/>
        <v/>
      </c>
      <c r="J16" s="84" t="str">
        <f t="shared" si="2"/>
        <v/>
      </c>
      <c r="K16" s="88" t="str">
        <f>IF(ΠΕΡΙΦΕΡΕΙΑ!B14&lt;&gt;"Καθόλου",L16,M16)</f>
        <v/>
      </c>
      <c r="L16" s="132" t="str">
        <f t="shared" si="4"/>
        <v/>
      </c>
      <c r="M16" s="132" t="str">
        <f>IF(ΠΕΡΙΦΕΡΕΙΑ!B14="Καθόλου",IF(F16="","","Μην αναγράφετε τιμές εφόσον η περιφέρεια δεν καλύπτεται"),"")</f>
        <v/>
      </c>
    </row>
  </sheetData>
  <sheetProtection algorithmName="SHA-512" hashValue="meTzDTwDDLbTzA5Z9Ws87vg+z31sHP2Du4JwBTCz0ELS3LerjzA475PQqrH0lA9wblfdrFRuoQP735GqIeQiRg==" saltValue="LXVlrvpeKOZtCVV2xph2Fg==" spinCount="100000" sheet="1" objects="1" scenario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 xr:uid="{00000000-0002-0000-0500-000000000000}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P6"/>
  <sheetViews>
    <sheetView topLeftCell="A2" zoomScaleNormal="100" workbookViewId="0">
      <selection activeCell="A3" sqref="A3"/>
    </sheetView>
  </sheetViews>
  <sheetFormatPr defaultColWidth="9.109375" defaultRowHeight="14.4" zeroHeight="1" x14ac:dyDescent="0.3"/>
  <cols>
    <col min="1" max="1" width="50" style="130" customWidth="1"/>
    <col min="2" max="2" width="23" style="130" hidden="1" customWidth="1"/>
    <col min="3" max="3" width="27.6640625" style="130" customWidth="1"/>
    <col min="4" max="5" width="27.6640625" style="130" hidden="1" customWidth="1"/>
    <col min="6" max="6" width="38.44140625" style="130" customWidth="1"/>
    <col min="7" max="7" width="21.5546875" style="130" customWidth="1"/>
    <col min="8" max="8" width="23.6640625" style="130" customWidth="1"/>
    <col min="9" max="9" width="33.33203125" style="130" customWidth="1"/>
    <col min="10" max="11" width="23.6640625" style="130" hidden="1" customWidth="1"/>
    <col min="12" max="12" width="17.33203125" style="130" customWidth="1"/>
    <col min="13" max="13" width="39.88671875" style="130" customWidth="1"/>
    <col min="14" max="14" width="7.109375" style="130" customWidth="1"/>
    <col min="15" max="15" width="17.44140625" style="130" customWidth="1"/>
    <col min="16" max="16" width="62.88671875" style="130" customWidth="1"/>
    <col min="17" max="16384" width="9.109375" style="130"/>
  </cols>
  <sheetData>
    <row r="1" spans="1:16" ht="15" hidden="1" thickBot="1" x14ac:dyDescent="0.35">
      <c r="A1" t="s">
        <v>478</v>
      </c>
      <c r="B1" t="s">
        <v>479</v>
      </c>
      <c r="C1" t="s">
        <v>528</v>
      </c>
      <c r="D1" s="144" t="s">
        <v>539</v>
      </c>
      <c r="E1" s="144" t="s">
        <v>540</v>
      </c>
      <c r="F1" s="2" t="s">
        <v>480</v>
      </c>
      <c r="G1" s="2" t="s">
        <v>488</v>
      </c>
      <c r="H1" s="68" t="s">
        <v>482</v>
      </c>
      <c r="I1" s="68" t="s">
        <v>482</v>
      </c>
      <c r="J1" s="2" t="s">
        <v>487</v>
      </c>
      <c r="K1" t="s">
        <v>501</v>
      </c>
      <c r="L1" t="s">
        <v>500</v>
      </c>
      <c r="M1" t="s">
        <v>484</v>
      </c>
      <c r="O1" s="69" t="s">
        <v>482</v>
      </c>
      <c r="P1" s="69" t="s">
        <v>482</v>
      </c>
    </row>
    <row r="2" spans="1:16" ht="54.75" customHeight="1" thickBot="1" x14ac:dyDescent="0.35">
      <c r="A2" s="3" t="s">
        <v>420</v>
      </c>
      <c r="B2" s="4" t="s">
        <v>27</v>
      </c>
      <c r="C2" s="72" t="s">
        <v>530</v>
      </c>
      <c r="D2" s="72"/>
      <c r="E2" s="72"/>
      <c r="F2" s="4" t="s">
        <v>471</v>
      </c>
      <c r="G2" s="4" t="s">
        <v>472</v>
      </c>
      <c r="H2" s="4" t="s">
        <v>450</v>
      </c>
      <c r="I2" s="4" t="s">
        <v>515</v>
      </c>
      <c r="J2" s="4" t="s">
        <v>427</v>
      </c>
      <c r="K2" s="72" t="s">
        <v>502</v>
      </c>
      <c r="L2" s="72" t="s">
        <v>421</v>
      </c>
      <c r="M2" s="73" t="s">
        <v>419</v>
      </c>
      <c r="O2" s="85" t="s">
        <v>447</v>
      </c>
      <c r="P2" s="86" t="s">
        <v>525</v>
      </c>
    </row>
    <row r="3" spans="1:16" ht="48.75" customHeight="1" thickTop="1" x14ac:dyDescent="0.3">
      <c r="A3" s="104" t="e">
        <f>#REF!</f>
        <v>#REF!</v>
      </c>
      <c r="B3" s="185" t="str">
        <f>ΓΕΝΙΚΑ!C2</f>
        <v>VODAFONE</v>
      </c>
      <c r="C3" s="125">
        <v>1</v>
      </c>
      <c r="D3" s="153">
        <f>IF(ΓΕΝΙΚΑ!$B$18="ΝΑΙ",_xlfn.IFNA(INDEX(OrchardIDnai,MATCH(F3,DimosNameNai,0)),""),"")</f>
        <v>14166</v>
      </c>
      <c r="E3" s="153" t="str">
        <f>IF(ΓΕΝΙΚΑ!$B$18="ΝΑΙ",_xlfn.IFNA(INDEX(OrchardNameNai,MATCH(F3,DimosNameNai,0)),""),"")</f>
        <v>Κηφισιάς</v>
      </c>
      <c r="F3" s="102" t="s">
        <v>885</v>
      </c>
      <c r="G3" s="169" t="s">
        <v>441</v>
      </c>
      <c r="H3" s="95" t="s">
        <v>428</v>
      </c>
      <c r="I3" s="96"/>
      <c r="J3" s="26" t="str">
        <f>IF(H3="","",IF(H3="Άλλο",IF(I3="","",I3),TEXT(H3,)))</f>
        <v>POTS</v>
      </c>
      <c r="K3" s="115">
        <f>IF(L3="ΠΟΛΥ ΥΨΗΛΗ", 5,IF(L3="ΥΨΗΛΗ",4,IF(L3="ΜΕΣΗ",3,IF(L3="ΧΑΜΗΛΗ",2,IF(L3="ΠΟΛΥ ΧΑΜΗΛΗ",1,0)))))</f>
        <v>5</v>
      </c>
      <c r="L3" s="97" t="s">
        <v>422</v>
      </c>
      <c r="M3" s="187" t="s">
        <v>884</v>
      </c>
      <c r="O3" s="89" t="str">
        <f>IF(P3="","","ΣΦΑΛΜΑ")</f>
        <v/>
      </c>
      <c r="P3" s="128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/>
      </c>
    </row>
    <row r="4" spans="1:16" ht="48.75" customHeight="1" x14ac:dyDescent="0.3">
      <c r="A4" s="104" t="e">
        <f>#REF!</f>
        <v>#REF!</v>
      </c>
      <c r="B4" s="185" t="str">
        <f>B3</f>
        <v>VODAFONE</v>
      </c>
      <c r="C4" s="134">
        <v>1</v>
      </c>
      <c r="D4" s="153">
        <f>IF(ΓΕΝΙΚΑ!$B$18="ΝΑΙ",_xlfn.IFNA(INDEX(OrchardIDnai,MATCH(F4,DimosNameNai,0)),""),"")</f>
        <v>13944</v>
      </c>
      <c r="E4" s="153" t="str">
        <f>IF(ΓΕΝΙΚΑ!$B$18="ΝΑΙ",_xlfn.IFNA(INDEX(OrchardNameNai,MATCH(F4,DimosNameNai,0)),""),"")</f>
        <v>Αθηναίων</v>
      </c>
      <c r="F4" s="135" t="s">
        <v>886</v>
      </c>
      <c r="G4" s="136" t="s">
        <v>442</v>
      </c>
      <c r="H4" s="137" t="str">
        <f>TEXT(H3,)</f>
        <v>POTS</v>
      </c>
      <c r="I4" s="8" t="str">
        <f>TEXT($I$3,"")</f>
        <v/>
      </c>
      <c r="J4" s="114" t="str">
        <f>$J$3</f>
        <v>POTS</v>
      </c>
      <c r="K4" s="115">
        <f>IF(L4="ΠΟΛΥ ΥΨΗΛΗ", 5,IF(L4="ΥΨΗΛΗ",4,IF(L4="ΜΕΣΗ",3,IF(L4="ΧΑΜΗΛΗ",2,IF(L4="ΠΟΛΥ ΧΑΜΗΛΗ",1,0)))))</f>
        <v>5</v>
      </c>
      <c r="L4" s="138" t="str">
        <f>TEXT($L$3,)</f>
        <v>ΠΟΛΥ ΥΨΗΛΗ</v>
      </c>
      <c r="M4" s="167" t="str">
        <f>M3</f>
        <v>Μετρήσεις πραγματοποιήθηκαν από 1/7/2021 και για έξι μήνες</v>
      </c>
      <c r="O4" s="89" t="str">
        <f>IF(P4="","","ΣΦΑΛΜΑ")</f>
        <v/>
      </c>
      <c r="P4" s="128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5">
      <c r="A5" s="104" t="e">
        <f>#REF!</f>
        <v>#REF!</v>
      </c>
      <c r="B5" s="185" t="str">
        <f>B3</f>
        <v>VODAFONE</v>
      </c>
      <c r="C5" s="127">
        <v>2</v>
      </c>
      <c r="D5" s="153">
        <f>IF(ΓΕΝΙΚΑ!$B$18="ΝΑΙ",_xlfn.IFNA(INDEX(OrchardIDnai,MATCH(F5,DimosNameNai,0)),""),"")</f>
        <v>14368</v>
      </c>
      <c r="E5" s="153" t="str">
        <f>IF(ΓΕΝΙΚΑ!$B$18="ΝΑΙ",_xlfn.IFNA(INDEX(OrchardNameNai,MATCH(F5,DimosNameNai,0)),""),"")</f>
        <v>Παύλου Μελά</v>
      </c>
      <c r="F5" s="133" t="s">
        <v>880</v>
      </c>
      <c r="G5" s="122" t="s">
        <v>441</v>
      </c>
      <c r="H5" s="99" t="s">
        <v>428</v>
      </c>
      <c r="I5" s="98"/>
      <c r="J5" s="37" t="str">
        <f>IF(H5="","",IF(H5="Άλλο",IF(I5="","",I5),TEXT(H5,"")))</f>
        <v>POTS</v>
      </c>
      <c r="K5" s="70">
        <f>IF(L5="ΠΟΛΥ ΥΨΗΛΗ", 5,IF(L5="ΥΨΗΛΗ",4,IF(L5="ΜΕΣΗ",3,IF(L5="ΧΑΜΗΛΗ",2,IF(L5="ΠΟΛΥ ΧΑΜΗΛΗ",1,0)))))</f>
        <v>5</v>
      </c>
      <c r="L5" s="97" t="s">
        <v>422</v>
      </c>
      <c r="M5" s="167" t="str">
        <f>M3</f>
        <v>Μετρήσεις πραγματοποιήθηκαν από 1/7/2021 και για έξι μήνες</v>
      </c>
      <c r="O5" s="89" t="str">
        <f>IF(P5="","","ΣΦΑΛΜΑ")</f>
        <v/>
      </c>
      <c r="P5" s="128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/>
      </c>
    </row>
    <row r="6" spans="1:16" ht="48.75" customHeight="1" thickBot="1" x14ac:dyDescent="0.35">
      <c r="A6" s="105" t="e">
        <f>#REF!</f>
        <v>#REF!</v>
      </c>
      <c r="B6" s="186" t="str">
        <f>B3</f>
        <v>VODAFONE</v>
      </c>
      <c r="C6" s="126">
        <f>IF(ISNUMBER(C$5),C$5,"")</f>
        <v>2</v>
      </c>
      <c r="D6" s="153">
        <f>IF(ΓΕΝΙΚΑ!$B$18="ΝΑΙ",_xlfn.IFNA(INDEX(OrchardIDnai,MATCH(F6,DimosNameNai,0)),""),"")</f>
        <v>13944</v>
      </c>
      <c r="E6" s="153" t="str">
        <f>IF(ΓΕΝΙΚΑ!$B$18="ΝΑΙ",_xlfn.IFNA(INDEX(OrchardNameNai,MATCH(F6,DimosNameNai,0)),""),"")</f>
        <v>Αθηναίων</v>
      </c>
      <c r="F6" s="103" t="s">
        <v>886</v>
      </c>
      <c r="G6" s="123" t="s">
        <v>442</v>
      </c>
      <c r="H6" s="42" t="str">
        <f>TEXT(H5,)</f>
        <v>POTS</v>
      </c>
      <c r="I6" s="7" t="str">
        <f>TEXT($I$5,"")</f>
        <v/>
      </c>
      <c r="J6" s="7" t="str">
        <f>$J$5</f>
        <v>POTS</v>
      </c>
      <c r="K6" s="70">
        <f>IF(L6="ΠΟΛΥ ΥΨΗΛΗ", 5,IF(L6="ΥΨΗΛΗ",4,IF(L6="ΜΕΣΗ",3,IF(L6="ΧΑΜΗΛΗ",2,IF(L6="ΠΟΛΥ ΧΑΜΗΛΗ",1,0)))))</f>
        <v>5</v>
      </c>
      <c r="L6" s="42" t="str">
        <f>TEXT($L$5,)</f>
        <v>ΠΟΛΥ ΥΨΗΛΗ</v>
      </c>
      <c r="M6" s="168" t="str">
        <f>M3</f>
        <v>Μετρήσεις πραγματοποιήθηκαν από 1/7/2021 και για έξι μήνες</v>
      </c>
      <c r="O6" s="93" t="str">
        <f>IF(P6="","","ΣΦΑΛΜΑ")</f>
        <v/>
      </c>
      <c r="P6" s="129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algorithmName="SHA-512" hashValue="qGg3OrXfw1xd3qufbOebMAN4OCLhTPXhuBaBokb9SEYuu0UZKnimNbIBGDUl1Dn8C2TCWiH8S4MhZFrXS9K4Sg==" saltValue="U0ricv+AM2+WKccT8MQaWw==" spinCount="100000" sheet="1" objects="1" scenario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 xr:uid="{00000000-0002-0000-0600-000000000000}">
      <formula1>POTS</formula1>
    </dataValidation>
    <dataValidation type="list" allowBlank="1" showInputMessage="1" showErrorMessage="1" sqref="H6 H4 L3:L6" xr:uid="{00000000-0002-0000-0600-000001000000}">
      <formula1>Quality.</formula1>
    </dataValidation>
    <dataValidation type="list" allowBlank="1" showInputMessage="1" showErrorMessage="1" sqref="C5" xr:uid="{00000000-0002-0000-0600-000002000000}">
      <formula1>Packet</formula1>
    </dataValidation>
    <dataValidation type="list" allowBlank="1" showInputMessage="1" showErrorMessage="1" sqref="F3:F6" xr:uid="{00000000-0002-0000-0600-000003000000}">
      <formula1>TK</formula1>
    </dataValidation>
    <dataValidation allowBlank="1" showInputMessage="1" showErrorMessage="1" sqref="B3:B6" xr:uid="{00000000-0002-0000-0600-000004000000}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Y30"/>
  <sheetViews>
    <sheetView topLeftCell="A13" zoomScaleNormal="100" workbookViewId="0">
      <selection activeCell="I30" sqref="I30"/>
    </sheetView>
  </sheetViews>
  <sheetFormatPr defaultColWidth="9.109375" defaultRowHeight="14.4" zeroHeight="1" x14ac:dyDescent="0.3"/>
  <cols>
    <col min="1" max="1" width="50" customWidth="1"/>
    <col min="2" max="2" width="10.33203125" hidden="1" customWidth="1"/>
    <col min="3" max="3" width="14.88671875" hidden="1" customWidth="1"/>
    <col min="4" max="4" width="37.109375" hidden="1" customWidth="1"/>
    <col min="5" max="5" width="37.109375" bestFit="1" customWidth="1"/>
    <col min="6" max="6" width="21.109375" customWidth="1"/>
    <col min="7" max="7" width="17.88671875" customWidth="1"/>
    <col min="8" max="8" width="17" hidden="1" customWidth="1"/>
    <col min="9" max="9" width="33.5546875" customWidth="1"/>
    <col min="10" max="10" width="18.6640625" hidden="1" customWidth="1"/>
    <col min="11" max="11" width="12.109375" customWidth="1"/>
    <col min="12" max="12" width="32.109375" customWidth="1"/>
    <col min="13" max="13" width="31" hidden="1" customWidth="1"/>
    <col min="14" max="16" width="39" customWidth="1"/>
    <col min="17" max="17" width="7.109375" customWidth="1"/>
    <col min="18" max="18" width="13.5546875" customWidth="1"/>
    <col min="19" max="19" width="70.109375" customWidth="1"/>
    <col min="20" max="34" width="0" hidden="1" customWidth="1"/>
  </cols>
  <sheetData>
    <row r="1" spans="1:25" s="130" customFormat="1" ht="15" hidden="1" thickBot="1" x14ac:dyDescent="0.35">
      <c r="A1" t="s">
        <v>478</v>
      </c>
      <c r="B1" s="107" t="s">
        <v>479</v>
      </c>
      <c r="C1" s="144" t="s">
        <v>539</v>
      </c>
      <c r="D1" s="144" t="s">
        <v>540</v>
      </c>
      <c r="E1" s="2" t="s">
        <v>480</v>
      </c>
      <c r="F1" t="s">
        <v>489</v>
      </c>
      <c r="G1" t="s">
        <v>482</v>
      </c>
      <c r="H1" s="107" t="s">
        <v>490</v>
      </c>
      <c r="I1" t="s">
        <v>482</v>
      </c>
      <c r="J1" t="s">
        <v>491</v>
      </c>
      <c r="K1" s="107" t="s">
        <v>492</v>
      </c>
      <c r="L1" s="14" t="s">
        <v>482</v>
      </c>
      <c r="M1" s="14" t="s">
        <v>493</v>
      </c>
      <c r="N1" s="14" t="s">
        <v>494</v>
      </c>
      <c r="O1" s="14" t="s">
        <v>495</v>
      </c>
      <c r="P1" s="14" t="s">
        <v>484</v>
      </c>
      <c r="R1" s="14" t="s">
        <v>482</v>
      </c>
      <c r="S1" s="14" t="s">
        <v>482</v>
      </c>
      <c r="T1" s="132"/>
      <c r="U1" s="132"/>
      <c r="V1" s="132"/>
      <c r="W1" s="132"/>
      <c r="X1" s="132"/>
    </row>
    <row r="2" spans="1:25" s="14" customFormat="1" ht="104.25" customHeight="1" thickBot="1" x14ac:dyDescent="0.35">
      <c r="A2" s="3" t="s">
        <v>420</v>
      </c>
      <c r="B2" s="108" t="s">
        <v>27</v>
      </c>
      <c r="C2" s="108"/>
      <c r="D2" s="108"/>
      <c r="E2" s="4" t="s">
        <v>473</v>
      </c>
      <c r="F2" s="4" t="s">
        <v>511</v>
      </c>
      <c r="G2" s="4" t="s">
        <v>512</v>
      </c>
      <c r="H2" s="108" t="s">
        <v>512</v>
      </c>
      <c r="I2" s="72" t="s">
        <v>865</v>
      </c>
      <c r="J2" s="72" t="s">
        <v>508</v>
      </c>
      <c r="K2" s="196" t="s">
        <v>531</v>
      </c>
      <c r="L2" s="4" t="s">
        <v>510</v>
      </c>
      <c r="M2" s="4" t="s">
        <v>509</v>
      </c>
      <c r="N2" s="4" t="s">
        <v>453</v>
      </c>
      <c r="O2" s="73" t="s">
        <v>454</v>
      </c>
      <c r="P2" s="74" t="s">
        <v>419</v>
      </c>
      <c r="Q2" s="130"/>
      <c r="R2" s="85" t="s">
        <v>447</v>
      </c>
      <c r="S2" s="86" t="s">
        <v>525</v>
      </c>
      <c r="T2" s="86" t="s">
        <v>525</v>
      </c>
      <c r="U2" s="86" t="s">
        <v>525</v>
      </c>
      <c r="V2" s="86" t="s">
        <v>525</v>
      </c>
      <c r="W2" s="86" t="s">
        <v>525</v>
      </c>
      <c r="X2" s="86" t="s">
        <v>525</v>
      </c>
      <c r="Y2" s="86" t="s">
        <v>525</v>
      </c>
    </row>
    <row r="3" spans="1:25" s="14" customFormat="1" ht="15.6" thickTop="1" thickBot="1" x14ac:dyDescent="0.35">
      <c r="A3" s="25" t="s">
        <v>477</v>
      </c>
      <c r="B3" s="110" t="str">
        <f>ΓΕΝΙΚΑ!$C$4</f>
        <v>VODAFONE</v>
      </c>
      <c r="C3" s="32">
        <f>IF(R3="",IF(ΓΕΝΙΚΑ!$B$19="ΝΑΙ",15300,""),"")</f>
        <v>15300</v>
      </c>
      <c r="D3" s="145" t="str">
        <f>IF(ΓΕΝΙΚΑ!$B$19="ΝΑΙ","ΠΑΝΕΛΛΑΔΙΚΑ","")</f>
        <v>ΠΑΝΕΛΛΑΔΙΚΑ</v>
      </c>
      <c r="E3" s="67" t="s">
        <v>485</v>
      </c>
      <c r="F3" s="43">
        <v>50</v>
      </c>
      <c r="G3" s="53">
        <v>2.25</v>
      </c>
      <c r="H3" s="106">
        <f>IF(ISNUMBER(G3),ROUND(G3,2),"N/A")</f>
        <v>2.25</v>
      </c>
      <c r="I3" s="53">
        <v>5.75</v>
      </c>
      <c r="J3" s="106">
        <f>IF(ISNUMBER(I3),ROUND(I3,2),"N/A")</f>
        <v>5.75</v>
      </c>
      <c r="K3" s="197">
        <f>IF(AND(ISNUMBER(G3),ISNUMBER(I3)),ROUND(G3+I3,0),IF(ISNUMBER(G3),ROUND(G3,0),IF(ISNUMBER(I3),ROUND(I3,0),"N/A")))</f>
        <v>8</v>
      </c>
      <c r="L3" s="193"/>
      <c r="M3" s="111" t="str">
        <f>IF(ISNUMBER(L3),ROUND(L3,2),"N/A")</f>
        <v>N/A</v>
      </c>
      <c r="N3" s="188" t="s">
        <v>872</v>
      </c>
      <c r="O3" s="189" t="s">
        <v>872</v>
      </c>
      <c r="P3" s="183" t="s">
        <v>872</v>
      </c>
      <c r="Q3" s="130"/>
      <c r="R3" s="89" t="str">
        <f>IF(S3="","","ΣΦΑΛΜΑ")</f>
        <v/>
      </c>
      <c r="S3" s="92" t="str">
        <f>CONCATENATE(IF(K3="",T3,""),IF(K3&gt;K17,U3,""),IF(G3&gt;G17,V3,""),IF(I3&gt;I17,W3,""),IF(L3&lt;&gt;"",IF(AND(ISNUMBER(L3),L3&gt;=0,L3&lt;=100),"",X3),""))</f>
        <v/>
      </c>
      <c r="T3" s="171" t="s">
        <v>532</v>
      </c>
      <c r="U3" s="171" t="s">
        <v>534</v>
      </c>
      <c r="V3" s="171" t="s">
        <v>535</v>
      </c>
      <c r="W3" s="171" t="s">
        <v>536</v>
      </c>
      <c r="X3" s="171" t="s">
        <v>533</v>
      </c>
      <c r="Y3" s="172"/>
    </row>
    <row r="4" spans="1:25" s="14" customFormat="1" ht="16.5" customHeight="1" thickTop="1" thickBot="1" x14ac:dyDescent="0.35">
      <c r="A4" s="49" t="str">
        <f t="shared" ref="A4:A30" si="0">A$3</f>
        <v>F04</v>
      </c>
      <c r="B4" s="110" t="str">
        <f>ΓΕΝΙΚΑ!$C$4</f>
        <v>VODAFONE</v>
      </c>
      <c r="C4" s="146">
        <f>IF(R4="",IF(ΓΕΝΙΚΑ!$B$19="ΝΑΙ",14664,""),"")</f>
        <v>14664</v>
      </c>
      <c r="D4" s="147" t="str">
        <f>IF(ΓΕΝΙΚΑ!$B$19="ΝΑΙ","Π. ΑΝΑΤΟΛΙΚΗΣ ΜΑΚΕΔΟΝΙΑΣ - ΘΡΑΚΗΣ","")</f>
        <v>Π. ΑΝΑΤΟΛΙΚΗΣ ΜΑΚΕΔΟΝΙΑΣ - ΘΡΑΚΗΣ</v>
      </c>
      <c r="E4" s="44" t="s">
        <v>37</v>
      </c>
      <c r="F4" s="45">
        <v>50</v>
      </c>
      <c r="G4" s="54">
        <v>2.72</v>
      </c>
      <c r="H4" s="106">
        <f t="shared" ref="H4:H30" si="1">IF(ISNUMBER(G4),ROUND(G4,2),"N/A")</f>
        <v>2.72</v>
      </c>
      <c r="I4" s="54">
        <v>5.28</v>
      </c>
      <c r="J4" s="106">
        <f t="shared" ref="J4:J30" si="2">IF(ISNUMBER(I4),ROUND(I4,2),"N/A")</f>
        <v>5.28</v>
      </c>
      <c r="K4" s="45">
        <f t="shared" ref="K4:K30" si="3">IF(AND(ISNUMBER(G4),ISNUMBER(I4)),ROUND(G4+I4,0),IF(ISNUMBER(G4),ROUND(G4,0),IF(ISNUMBER(I4),ROUND(I4,0),"N/A")))</f>
        <v>8</v>
      </c>
      <c r="L4" s="194"/>
      <c r="M4" s="111" t="str">
        <f t="shared" ref="M4:M16" si="4">IF(ISNUMBER(L4),ROUND(L4,2),"N/A")</f>
        <v>N/A</v>
      </c>
      <c r="N4" s="154" t="str">
        <f>N$3</f>
        <v/>
      </c>
      <c r="O4" s="154" t="str">
        <f>O$3</f>
        <v/>
      </c>
      <c r="P4" s="155" t="str">
        <f>P$3</f>
        <v/>
      </c>
      <c r="Q4" s="130"/>
      <c r="R4" s="89" t="str">
        <f t="shared" ref="R4:R30" si="5">IF(S4="","","ΣΦΑΛΜΑ")</f>
        <v/>
      </c>
      <c r="S4" s="92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/>
      </c>
      <c r="T4" s="171" t="s">
        <v>532</v>
      </c>
      <c r="U4" s="171" t="s">
        <v>534</v>
      </c>
      <c r="V4" s="171" t="s">
        <v>535</v>
      </c>
      <c r="W4" s="171" t="s">
        <v>536</v>
      </c>
      <c r="X4" s="171" t="s">
        <v>533</v>
      </c>
      <c r="Y4" s="172" t="s">
        <v>866</v>
      </c>
    </row>
    <row r="5" spans="1:25" s="14" customFormat="1" ht="15.6" thickTop="1" thickBot="1" x14ac:dyDescent="0.35">
      <c r="A5" s="49" t="str">
        <f t="shared" si="0"/>
        <v>F04</v>
      </c>
      <c r="B5" s="110" t="str">
        <f>ΓΕΝΙΚΑ!$C$4</f>
        <v>VODAFONE</v>
      </c>
      <c r="C5" s="31">
        <f>IF(R5="",IF(ΓΕΝΙΚΑ!$B$19="ΝΑΙ",14666,""),"")</f>
        <v>14666</v>
      </c>
      <c r="D5" s="148" t="str">
        <f>IF(ΓΕΝΙΚΑ!$B$19="ΝΑΙ","Π. ΑΤΤΙΚΗΣ","")</f>
        <v>Π. ΑΤΤΙΚΗΣ</v>
      </c>
      <c r="E5" s="45" t="s">
        <v>38</v>
      </c>
      <c r="F5" s="45">
        <v>50</v>
      </c>
      <c r="G5" s="54">
        <v>1.87</v>
      </c>
      <c r="H5" s="106">
        <f t="shared" si="1"/>
        <v>1.87</v>
      </c>
      <c r="I5" s="54">
        <v>5.13</v>
      </c>
      <c r="J5" s="106">
        <f t="shared" si="2"/>
        <v>5.13</v>
      </c>
      <c r="K5" s="45">
        <f t="shared" si="3"/>
        <v>7</v>
      </c>
      <c r="L5" s="194"/>
      <c r="M5" s="111" t="str">
        <f t="shared" si="4"/>
        <v>N/A</v>
      </c>
      <c r="N5" s="154" t="str">
        <f t="shared" ref="N5:P30" si="6">N$3</f>
        <v/>
      </c>
      <c r="O5" s="154" t="str">
        <f t="shared" si="6"/>
        <v/>
      </c>
      <c r="P5" s="155" t="str">
        <f t="shared" si="6"/>
        <v/>
      </c>
      <c r="Q5" s="130"/>
      <c r="R5" s="89" t="str">
        <f t="shared" si="5"/>
        <v/>
      </c>
      <c r="S5" s="92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71" t="s">
        <v>532</v>
      </c>
      <c r="U5" s="171" t="s">
        <v>534</v>
      </c>
      <c r="V5" s="171" t="s">
        <v>535</v>
      </c>
      <c r="W5" s="171" t="s">
        <v>536</v>
      </c>
      <c r="X5" s="171" t="s">
        <v>533</v>
      </c>
      <c r="Y5" s="172" t="s">
        <v>866</v>
      </c>
    </row>
    <row r="6" spans="1:25" s="14" customFormat="1" ht="15.6" thickTop="1" thickBot="1" x14ac:dyDescent="0.35">
      <c r="A6" s="49" t="str">
        <f t="shared" si="0"/>
        <v>F04</v>
      </c>
      <c r="B6" s="110" t="str">
        <f>ΓΕΝΙΚΑ!$C$4</f>
        <v>VODAFONE</v>
      </c>
      <c r="C6" s="146">
        <f>IF(R6="",IF(ΓΕΝΙΚΑ!$B$19="ΝΑΙ",14668,""),"")</f>
        <v>14668</v>
      </c>
      <c r="D6" s="147" t="str">
        <f>IF(ΓΕΝΙΚΑ!$B$19="ΝΑΙ","Π. ΒΟΡΕΙΟΥ ΑΙΓΑΙΟΥ","")</f>
        <v>Π. ΒΟΡΕΙΟΥ ΑΙΓΑΙΟΥ</v>
      </c>
      <c r="E6" s="44" t="s">
        <v>402</v>
      </c>
      <c r="F6" s="45">
        <v>50</v>
      </c>
      <c r="G6" s="54">
        <v>2.52</v>
      </c>
      <c r="H6" s="106">
        <f t="shared" si="1"/>
        <v>2.52</v>
      </c>
      <c r="I6" s="54">
        <v>6.48</v>
      </c>
      <c r="J6" s="106">
        <f t="shared" si="2"/>
        <v>6.48</v>
      </c>
      <c r="K6" s="45">
        <f t="shared" si="3"/>
        <v>9</v>
      </c>
      <c r="L6" s="194"/>
      <c r="M6" s="111" t="str">
        <f t="shared" si="4"/>
        <v>N/A</v>
      </c>
      <c r="N6" s="154" t="str">
        <f t="shared" si="6"/>
        <v/>
      </c>
      <c r="O6" s="154" t="str">
        <f t="shared" si="6"/>
        <v/>
      </c>
      <c r="P6" s="155" t="str">
        <f t="shared" si="6"/>
        <v/>
      </c>
      <c r="Q6" s="130"/>
      <c r="R6" s="89" t="str">
        <f t="shared" si="5"/>
        <v/>
      </c>
      <c r="S6" s="92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/>
      </c>
      <c r="T6" s="171" t="s">
        <v>532</v>
      </c>
      <c r="U6" s="171" t="s">
        <v>534</v>
      </c>
      <c r="V6" s="171" t="s">
        <v>535</v>
      </c>
      <c r="W6" s="171" t="s">
        <v>536</v>
      </c>
      <c r="X6" s="171" t="s">
        <v>533</v>
      </c>
      <c r="Y6" s="172" t="s">
        <v>866</v>
      </c>
    </row>
    <row r="7" spans="1:25" s="14" customFormat="1" ht="15.6" thickTop="1" thickBot="1" x14ac:dyDescent="0.35">
      <c r="A7" s="49" t="str">
        <f t="shared" si="0"/>
        <v>F04</v>
      </c>
      <c r="B7" s="110" t="str">
        <f>ΓΕΝΙΚΑ!$C$4</f>
        <v>VODAFONE</v>
      </c>
      <c r="C7" s="31">
        <f>IF(R7="",IF(ΓΕΝΙΚΑ!$B$19="ΝΑΙ",14670,""),"")</f>
        <v>14670</v>
      </c>
      <c r="D7" s="148" t="str">
        <f>IF(ΓΕΝΙΚΑ!$B$19="ΝΑΙ","Π. ΔΥΤΙΚΗΣ ΕΛΛΑΔΑΣ","")</f>
        <v>Π. ΔΥΤΙΚΗΣ ΕΛΛΑΔΑΣ</v>
      </c>
      <c r="E7" s="45" t="s">
        <v>403</v>
      </c>
      <c r="F7" s="45">
        <v>50</v>
      </c>
      <c r="G7" s="54">
        <v>2.61</v>
      </c>
      <c r="H7" s="106">
        <f t="shared" si="1"/>
        <v>2.61</v>
      </c>
      <c r="I7" s="54">
        <v>6.39</v>
      </c>
      <c r="J7" s="106">
        <f t="shared" si="2"/>
        <v>6.39</v>
      </c>
      <c r="K7" s="45">
        <f t="shared" si="3"/>
        <v>9</v>
      </c>
      <c r="L7" s="194"/>
      <c r="M7" s="111" t="str">
        <f t="shared" si="4"/>
        <v>N/A</v>
      </c>
      <c r="N7" s="154" t="str">
        <f t="shared" si="6"/>
        <v/>
      </c>
      <c r="O7" s="154" t="str">
        <f t="shared" si="6"/>
        <v/>
      </c>
      <c r="P7" s="155" t="str">
        <f t="shared" si="6"/>
        <v/>
      </c>
      <c r="Q7" s="130"/>
      <c r="R7" s="89" t="str">
        <f t="shared" si="5"/>
        <v/>
      </c>
      <c r="S7" s="92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/>
      </c>
      <c r="T7" s="171" t="s">
        <v>532</v>
      </c>
      <c r="U7" s="171" t="s">
        <v>534</v>
      </c>
      <c r="V7" s="171" t="s">
        <v>535</v>
      </c>
      <c r="W7" s="171" t="s">
        <v>536</v>
      </c>
      <c r="X7" s="171" t="s">
        <v>533</v>
      </c>
      <c r="Y7" s="172" t="s">
        <v>866</v>
      </c>
    </row>
    <row r="8" spans="1:25" s="14" customFormat="1" ht="15.6" thickTop="1" thickBot="1" x14ac:dyDescent="0.35">
      <c r="A8" s="49" t="str">
        <f t="shared" si="0"/>
        <v>F04</v>
      </c>
      <c r="B8" s="110" t="str">
        <f>ΓΕΝΙΚΑ!$C$4</f>
        <v>VODAFONE</v>
      </c>
      <c r="C8" s="146">
        <f>IF(R8="",IF(ΓΕΝΙΚΑ!$B$19="ΝΑΙ",14672,""),"")</f>
        <v>14672</v>
      </c>
      <c r="D8" s="147" t="str">
        <f>IF(ΓΕΝΙΚΑ!$B$19="ΝΑΙ","Π. ΔΥΤΙΚΗΣ ΜΑΚΕΔΟΝΙΑΣ","")</f>
        <v>Π. ΔΥΤΙΚΗΣ ΜΑΚΕΔΟΝΙΑΣ</v>
      </c>
      <c r="E8" s="44" t="s">
        <v>404</v>
      </c>
      <c r="F8" s="45">
        <v>50</v>
      </c>
      <c r="G8" s="54">
        <v>3.11</v>
      </c>
      <c r="H8" s="106">
        <f t="shared" si="1"/>
        <v>3.11</v>
      </c>
      <c r="I8" s="54">
        <v>6.89</v>
      </c>
      <c r="J8" s="106">
        <f t="shared" si="2"/>
        <v>6.89</v>
      </c>
      <c r="K8" s="45">
        <f t="shared" si="3"/>
        <v>10</v>
      </c>
      <c r="L8" s="194"/>
      <c r="M8" s="111" t="str">
        <f t="shared" si="4"/>
        <v>N/A</v>
      </c>
      <c r="N8" s="154" t="str">
        <f t="shared" si="6"/>
        <v/>
      </c>
      <c r="O8" s="154" t="str">
        <f t="shared" si="6"/>
        <v/>
      </c>
      <c r="P8" s="155" t="str">
        <f t="shared" si="6"/>
        <v/>
      </c>
      <c r="Q8" s="130"/>
      <c r="R8" s="89" t="str">
        <f t="shared" si="5"/>
        <v/>
      </c>
      <c r="S8" s="92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/>
      </c>
      <c r="T8" s="171" t="s">
        <v>532</v>
      </c>
      <c r="U8" s="171" t="s">
        <v>534</v>
      </c>
      <c r="V8" s="171" t="s">
        <v>535</v>
      </c>
      <c r="W8" s="171" t="s">
        <v>536</v>
      </c>
      <c r="X8" s="171" t="s">
        <v>533</v>
      </c>
      <c r="Y8" s="172" t="s">
        <v>866</v>
      </c>
    </row>
    <row r="9" spans="1:25" s="14" customFormat="1" ht="15.6" thickTop="1" thickBot="1" x14ac:dyDescent="0.35">
      <c r="A9" s="49" t="str">
        <f t="shared" si="0"/>
        <v>F04</v>
      </c>
      <c r="B9" s="110" t="str">
        <f>ΓΕΝΙΚΑ!$C$4</f>
        <v>VODAFONE</v>
      </c>
      <c r="C9" s="31">
        <f>IF(R9="",IF(ΓΕΝΙΚΑ!$B$19="ΝΑΙ",14674,""),"")</f>
        <v>14674</v>
      </c>
      <c r="D9" s="148" t="str">
        <f>IF(ΓΕΝΙΚΑ!$B$19="ΝΑΙ","Π. ΗΠΕΙΡΟΥ","")</f>
        <v>Π. ΗΠΕΙΡΟΥ</v>
      </c>
      <c r="E9" s="45" t="s">
        <v>405</v>
      </c>
      <c r="F9" s="45">
        <v>50</v>
      </c>
      <c r="G9" s="54">
        <v>2.4300000000000002</v>
      </c>
      <c r="H9" s="106">
        <f t="shared" si="1"/>
        <v>2.4300000000000002</v>
      </c>
      <c r="I9" s="54">
        <v>5.57</v>
      </c>
      <c r="J9" s="106">
        <f t="shared" si="2"/>
        <v>5.57</v>
      </c>
      <c r="K9" s="45">
        <f t="shared" si="3"/>
        <v>8</v>
      </c>
      <c r="L9" s="194"/>
      <c r="M9" s="111" t="str">
        <f t="shared" si="4"/>
        <v>N/A</v>
      </c>
      <c r="N9" s="154" t="str">
        <f t="shared" si="6"/>
        <v/>
      </c>
      <c r="O9" s="154" t="str">
        <f t="shared" si="6"/>
        <v/>
      </c>
      <c r="P9" s="155" t="str">
        <f t="shared" si="6"/>
        <v/>
      </c>
      <c r="Q9" s="130"/>
      <c r="R9" s="89" t="str">
        <f t="shared" si="5"/>
        <v/>
      </c>
      <c r="S9" s="92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/>
      </c>
      <c r="T9" s="171" t="s">
        <v>532</v>
      </c>
      <c r="U9" s="171" t="s">
        <v>534</v>
      </c>
      <c r="V9" s="171" t="s">
        <v>535</v>
      </c>
      <c r="W9" s="171" t="s">
        <v>536</v>
      </c>
      <c r="X9" s="171" t="s">
        <v>533</v>
      </c>
      <c r="Y9" s="172" t="s">
        <v>866</v>
      </c>
    </row>
    <row r="10" spans="1:25" s="14" customFormat="1" ht="15.6" thickTop="1" thickBot="1" x14ac:dyDescent="0.35">
      <c r="A10" s="49" t="str">
        <f t="shared" si="0"/>
        <v>F04</v>
      </c>
      <c r="B10" s="110" t="str">
        <f>ΓΕΝΙΚΑ!$C$4</f>
        <v>VODAFONE</v>
      </c>
      <c r="C10" s="146">
        <f>IF(R10="",IF(ΓΕΝΙΚΑ!$B$19="ΝΑΙ",14676,""),"")</f>
        <v>14676</v>
      </c>
      <c r="D10" s="147" t="str">
        <f>IF(ΓΕΝΙΚΑ!$B$19="ΝΑΙ","Π. ΘΕΣΣΑΛΙΑΣ","")</f>
        <v>Π. ΘΕΣΣΑΛΙΑΣ</v>
      </c>
      <c r="E10" s="44" t="s">
        <v>406</v>
      </c>
      <c r="F10" s="45">
        <v>50</v>
      </c>
      <c r="G10" s="54">
        <v>2.57</v>
      </c>
      <c r="H10" s="106">
        <f t="shared" si="1"/>
        <v>2.57</v>
      </c>
      <c r="I10" s="54">
        <v>6.43</v>
      </c>
      <c r="J10" s="106">
        <f t="shared" si="2"/>
        <v>6.43</v>
      </c>
      <c r="K10" s="45">
        <f t="shared" si="3"/>
        <v>9</v>
      </c>
      <c r="L10" s="194"/>
      <c r="M10" s="111" t="str">
        <f t="shared" si="4"/>
        <v>N/A</v>
      </c>
      <c r="N10" s="154" t="str">
        <f t="shared" si="6"/>
        <v/>
      </c>
      <c r="O10" s="154" t="str">
        <f t="shared" si="6"/>
        <v/>
      </c>
      <c r="P10" s="155" t="str">
        <f t="shared" si="6"/>
        <v/>
      </c>
      <c r="Q10" s="130"/>
      <c r="R10" s="89" t="str">
        <f t="shared" si="5"/>
        <v/>
      </c>
      <c r="S10" s="92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/>
      </c>
      <c r="T10" s="171" t="s">
        <v>532</v>
      </c>
      <c r="U10" s="171" t="s">
        <v>534</v>
      </c>
      <c r="V10" s="171" t="s">
        <v>535</v>
      </c>
      <c r="W10" s="171" t="s">
        <v>536</v>
      </c>
      <c r="X10" s="171" t="s">
        <v>533</v>
      </c>
      <c r="Y10" s="172" t="s">
        <v>866</v>
      </c>
    </row>
    <row r="11" spans="1:25" s="14" customFormat="1" ht="15.6" thickTop="1" thickBot="1" x14ac:dyDescent="0.35">
      <c r="A11" s="49" t="str">
        <f t="shared" si="0"/>
        <v>F04</v>
      </c>
      <c r="B11" s="110" t="str">
        <f>ΓΕΝΙΚΑ!$C$4</f>
        <v>VODAFONE</v>
      </c>
      <c r="C11" s="31">
        <f>IF(R11="",IF(ΓΕΝΙΚΑ!$B$19="ΝΑΙ",14678,""),"")</f>
        <v>14678</v>
      </c>
      <c r="D11" s="148" t="str">
        <f>IF(ΓΕΝΙΚΑ!$B$19="ΝΑΙ","Π. ΙΟΝΙΩΝ ΝΗΣΩΝ","")</f>
        <v>Π. ΙΟΝΙΩΝ ΝΗΣΩΝ</v>
      </c>
      <c r="E11" s="45" t="s">
        <v>407</v>
      </c>
      <c r="F11" s="45">
        <v>50</v>
      </c>
      <c r="G11" s="54">
        <v>1.99</v>
      </c>
      <c r="H11" s="106">
        <f t="shared" si="1"/>
        <v>1.99</v>
      </c>
      <c r="I11" s="54">
        <v>6.01</v>
      </c>
      <c r="J11" s="106">
        <f t="shared" si="2"/>
        <v>6.01</v>
      </c>
      <c r="K11" s="45">
        <f t="shared" si="3"/>
        <v>8</v>
      </c>
      <c r="L11" s="194"/>
      <c r="M11" s="111" t="str">
        <f t="shared" si="4"/>
        <v>N/A</v>
      </c>
      <c r="N11" s="154" t="str">
        <f t="shared" si="6"/>
        <v/>
      </c>
      <c r="O11" s="154" t="str">
        <f t="shared" si="6"/>
        <v/>
      </c>
      <c r="P11" s="155" t="str">
        <f t="shared" si="6"/>
        <v/>
      </c>
      <c r="Q11" s="130"/>
      <c r="R11" s="89" t="str">
        <f t="shared" si="5"/>
        <v/>
      </c>
      <c r="S11" s="92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/>
      </c>
      <c r="T11" s="171" t="s">
        <v>532</v>
      </c>
      <c r="U11" s="171" t="s">
        <v>534</v>
      </c>
      <c r="V11" s="171" t="s">
        <v>535</v>
      </c>
      <c r="W11" s="171" t="s">
        <v>536</v>
      </c>
      <c r="X11" s="171" t="s">
        <v>533</v>
      </c>
      <c r="Y11" s="172" t="s">
        <v>866</v>
      </c>
    </row>
    <row r="12" spans="1:25" s="14" customFormat="1" ht="15.6" thickTop="1" thickBot="1" x14ac:dyDescent="0.35">
      <c r="A12" s="49" t="str">
        <f t="shared" si="0"/>
        <v>F04</v>
      </c>
      <c r="B12" s="110" t="str">
        <f>ΓΕΝΙΚΑ!$C$4</f>
        <v>VODAFONE</v>
      </c>
      <c r="C12" s="146">
        <f>IF(R12="",IF(ΓΕΝΙΚΑ!$B$19="ΝΑΙ",14680,""),"")</f>
        <v>14680</v>
      </c>
      <c r="D12" s="147" t="str">
        <f>IF(ΓΕΝΙΚΑ!$B$19="ΝΑΙ","Π. ΚΕΝΤΡΙΚΗΣ ΜΑΚΕΔΟΝΙΑΣ","")</f>
        <v>Π. ΚΕΝΤΡΙΚΗΣ ΜΑΚΕΔΟΝΙΑΣ</v>
      </c>
      <c r="E12" s="44" t="s">
        <v>408</v>
      </c>
      <c r="F12" s="45">
        <v>50</v>
      </c>
      <c r="G12" s="54">
        <v>2.2200000000000002</v>
      </c>
      <c r="H12" s="106">
        <f t="shared" si="1"/>
        <v>2.2200000000000002</v>
      </c>
      <c r="I12" s="54">
        <v>5.78</v>
      </c>
      <c r="J12" s="106">
        <f t="shared" si="2"/>
        <v>5.78</v>
      </c>
      <c r="K12" s="45">
        <f t="shared" si="3"/>
        <v>8</v>
      </c>
      <c r="L12" s="194"/>
      <c r="M12" s="111" t="str">
        <f t="shared" si="4"/>
        <v>N/A</v>
      </c>
      <c r="N12" s="154" t="str">
        <f t="shared" si="6"/>
        <v/>
      </c>
      <c r="O12" s="154" t="str">
        <f t="shared" si="6"/>
        <v/>
      </c>
      <c r="P12" s="155" t="str">
        <f t="shared" si="6"/>
        <v/>
      </c>
      <c r="Q12" s="130"/>
      <c r="R12" s="89" t="str">
        <f t="shared" si="5"/>
        <v/>
      </c>
      <c r="S12" s="92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71" t="s">
        <v>532</v>
      </c>
      <c r="U12" s="171" t="s">
        <v>534</v>
      </c>
      <c r="V12" s="171" t="s">
        <v>535</v>
      </c>
      <c r="W12" s="171" t="s">
        <v>536</v>
      </c>
      <c r="X12" s="171" t="s">
        <v>533</v>
      </c>
      <c r="Y12" s="172" t="s">
        <v>866</v>
      </c>
    </row>
    <row r="13" spans="1:25" s="14" customFormat="1" ht="15.6" thickTop="1" thickBot="1" x14ac:dyDescent="0.35">
      <c r="A13" s="49" t="str">
        <f t="shared" si="0"/>
        <v>F04</v>
      </c>
      <c r="B13" s="110" t="str">
        <f>ΓΕΝΙΚΑ!$C$4</f>
        <v>VODAFONE</v>
      </c>
      <c r="C13" s="31">
        <f>IF(R13="",IF(ΓΕΝΙΚΑ!$B$19="ΝΑΙ",14682,""),"")</f>
        <v>14682</v>
      </c>
      <c r="D13" s="148" t="str">
        <f>IF(ΓΕΝΙΚΑ!$B$19="ΝΑΙ","Π. ΚΡΗΤΗΣ","")</f>
        <v>Π. ΚΡΗΤΗΣ</v>
      </c>
      <c r="E13" s="45" t="s">
        <v>409</v>
      </c>
      <c r="F13" s="45">
        <v>50</v>
      </c>
      <c r="G13" s="54">
        <v>2.06</v>
      </c>
      <c r="H13" s="106">
        <f t="shared" si="1"/>
        <v>2.06</v>
      </c>
      <c r="I13" s="54">
        <v>4.9400000000000004</v>
      </c>
      <c r="J13" s="106">
        <f t="shared" si="2"/>
        <v>4.9400000000000004</v>
      </c>
      <c r="K13" s="45">
        <f t="shared" si="3"/>
        <v>7</v>
      </c>
      <c r="L13" s="194"/>
      <c r="M13" s="111" t="str">
        <f t="shared" si="4"/>
        <v>N/A</v>
      </c>
      <c r="N13" s="154" t="str">
        <f t="shared" si="6"/>
        <v/>
      </c>
      <c r="O13" s="154" t="str">
        <f t="shared" si="6"/>
        <v/>
      </c>
      <c r="P13" s="155" t="str">
        <f t="shared" si="6"/>
        <v/>
      </c>
      <c r="Q13" s="130"/>
      <c r="R13" s="89" t="str">
        <f t="shared" si="5"/>
        <v/>
      </c>
      <c r="S13" s="92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/>
      </c>
      <c r="T13" s="171" t="s">
        <v>532</v>
      </c>
      <c r="U13" s="171" t="s">
        <v>534</v>
      </c>
      <c r="V13" s="171" t="s">
        <v>535</v>
      </c>
      <c r="W13" s="171" t="s">
        <v>536</v>
      </c>
      <c r="X13" s="171" t="s">
        <v>533</v>
      </c>
      <c r="Y13" s="172" t="s">
        <v>866</v>
      </c>
    </row>
    <row r="14" spans="1:25" s="14" customFormat="1" ht="15.6" thickTop="1" thickBot="1" x14ac:dyDescent="0.35">
      <c r="A14" s="49" t="str">
        <f t="shared" si="0"/>
        <v>F04</v>
      </c>
      <c r="B14" s="110" t="str">
        <f>ΓΕΝΙΚΑ!$C$4</f>
        <v>VODAFONE</v>
      </c>
      <c r="C14" s="146">
        <f>IF(R14="",IF(ΓΕΝΙΚΑ!$B$19="ΝΑΙ",14684,""),"")</f>
        <v>14684</v>
      </c>
      <c r="D14" s="147" t="str">
        <f>IF(ΓΕΝΙΚΑ!$B$19="ΝΑΙ","Π. ΝΟΤΙΟΥ ΑΙΓΑΙΟΥ","")</f>
        <v>Π. ΝΟΤΙΟΥ ΑΙΓΑΙΟΥ</v>
      </c>
      <c r="E14" s="44" t="s">
        <v>410</v>
      </c>
      <c r="F14" s="45">
        <v>50</v>
      </c>
      <c r="G14" s="54">
        <v>2.36</v>
      </c>
      <c r="H14" s="106">
        <f t="shared" si="1"/>
        <v>2.36</v>
      </c>
      <c r="I14" s="54">
        <v>5.64</v>
      </c>
      <c r="J14" s="106">
        <f t="shared" si="2"/>
        <v>5.64</v>
      </c>
      <c r="K14" s="45">
        <f t="shared" si="3"/>
        <v>8</v>
      </c>
      <c r="L14" s="194"/>
      <c r="M14" s="111" t="str">
        <f t="shared" si="4"/>
        <v>N/A</v>
      </c>
      <c r="N14" s="154" t="str">
        <f t="shared" si="6"/>
        <v/>
      </c>
      <c r="O14" s="154" t="str">
        <f t="shared" si="6"/>
        <v/>
      </c>
      <c r="P14" s="155" t="str">
        <f t="shared" si="6"/>
        <v/>
      </c>
      <c r="Q14" s="130"/>
      <c r="R14" s="89" t="str">
        <f t="shared" si="5"/>
        <v/>
      </c>
      <c r="S14" s="92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/>
      </c>
      <c r="T14" s="171" t="s">
        <v>532</v>
      </c>
      <c r="U14" s="171" t="s">
        <v>534</v>
      </c>
      <c r="V14" s="171" t="s">
        <v>535</v>
      </c>
      <c r="W14" s="171" t="s">
        <v>536</v>
      </c>
      <c r="X14" s="171" t="s">
        <v>533</v>
      </c>
      <c r="Y14" s="172" t="s">
        <v>866</v>
      </c>
    </row>
    <row r="15" spans="1:25" s="14" customFormat="1" ht="15.6" thickTop="1" thickBot="1" x14ac:dyDescent="0.35">
      <c r="A15" s="49" t="str">
        <f t="shared" si="0"/>
        <v>F04</v>
      </c>
      <c r="B15" s="110" t="str">
        <f>ΓΕΝΙΚΑ!$C$4</f>
        <v>VODAFONE</v>
      </c>
      <c r="C15" s="31">
        <f>IF(R15="",IF(ΓΕΝΙΚΑ!$B$19="ΝΑΙ",14686,""),"")</f>
        <v>14686</v>
      </c>
      <c r="D15" s="148" t="str">
        <f>IF(ΓΕΝΙΚΑ!$B$19="ΝΑΙ","Π. ΠΕΛΟΠΟΝΝΗΣΟΥ","")</f>
        <v>Π. ΠΕΛΟΠΟΝΝΗΣΟΥ</v>
      </c>
      <c r="E15" s="45" t="s">
        <v>411</v>
      </c>
      <c r="F15" s="45">
        <v>50</v>
      </c>
      <c r="G15" s="54">
        <v>2.0099999999999998</v>
      </c>
      <c r="H15" s="106">
        <f t="shared" si="1"/>
        <v>2.0099999999999998</v>
      </c>
      <c r="I15" s="54">
        <v>4.99</v>
      </c>
      <c r="J15" s="106">
        <f t="shared" si="2"/>
        <v>4.99</v>
      </c>
      <c r="K15" s="45">
        <f t="shared" si="3"/>
        <v>7</v>
      </c>
      <c r="L15" s="194"/>
      <c r="M15" s="111" t="str">
        <f t="shared" si="4"/>
        <v>N/A</v>
      </c>
      <c r="N15" s="154" t="str">
        <f t="shared" si="6"/>
        <v/>
      </c>
      <c r="O15" s="154" t="str">
        <f t="shared" si="6"/>
        <v/>
      </c>
      <c r="P15" s="155" t="str">
        <f t="shared" si="6"/>
        <v/>
      </c>
      <c r="Q15" s="130"/>
      <c r="R15" s="89" t="str">
        <f t="shared" si="5"/>
        <v/>
      </c>
      <c r="S15" s="92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/>
      </c>
      <c r="T15" s="171" t="s">
        <v>532</v>
      </c>
      <c r="U15" s="171" t="s">
        <v>534</v>
      </c>
      <c r="V15" s="171" t="s">
        <v>535</v>
      </c>
      <c r="W15" s="171" t="s">
        <v>536</v>
      </c>
      <c r="X15" s="171" t="s">
        <v>533</v>
      </c>
      <c r="Y15" s="172" t="s">
        <v>866</v>
      </c>
    </row>
    <row r="16" spans="1:25" s="14" customFormat="1" ht="15.6" thickTop="1" thickBot="1" x14ac:dyDescent="0.35">
      <c r="A16" s="49" t="str">
        <f t="shared" si="0"/>
        <v>F04</v>
      </c>
      <c r="B16" s="110" t="str">
        <f>ΓΕΝΙΚΑ!$C$4</f>
        <v>VODAFONE</v>
      </c>
      <c r="C16" s="149">
        <f>IF(R16="",IF(ΓΕΝΙΚΑ!$B$19="ΝΑΙ",14688,""),"")</f>
        <v>14688</v>
      </c>
      <c r="D16" s="150" t="str">
        <f>IF(ΓΕΝΙΚΑ!$B$19="ΝΑΙ","Π. ΣΤΕΡΕΑΣ ΕΛΛΑΔΑΣ","")</f>
        <v>Π. ΣΤΕΡΕΑΣ ΕΛΛΑΔΑΣ</v>
      </c>
      <c r="E16" s="46" t="s">
        <v>412</v>
      </c>
      <c r="F16" s="47">
        <v>50</v>
      </c>
      <c r="G16" s="55">
        <v>2.12</v>
      </c>
      <c r="H16" s="106">
        <f t="shared" si="1"/>
        <v>2.12</v>
      </c>
      <c r="I16" s="55">
        <v>4.88</v>
      </c>
      <c r="J16" s="106">
        <f t="shared" si="2"/>
        <v>4.88</v>
      </c>
      <c r="K16" s="47">
        <f t="shared" si="3"/>
        <v>7</v>
      </c>
      <c r="L16" s="195"/>
      <c r="M16" s="111" t="str">
        <f t="shared" si="4"/>
        <v>N/A</v>
      </c>
      <c r="N16" s="154" t="str">
        <f t="shared" si="6"/>
        <v/>
      </c>
      <c r="O16" s="154" t="str">
        <f t="shared" si="6"/>
        <v/>
      </c>
      <c r="P16" s="155" t="str">
        <f t="shared" si="6"/>
        <v/>
      </c>
      <c r="Q16" s="130"/>
      <c r="R16" s="89" t="str">
        <f t="shared" si="5"/>
        <v/>
      </c>
      <c r="S16" s="92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/>
      </c>
      <c r="T16" s="171" t="s">
        <v>532</v>
      </c>
      <c r="U16" s="171" t="s">
        <v>534</v>
      </c>
      <c r="V16" s="171" t="s">
        <v>535</v>
      </c>
      <c r="W16" s="171" t="s">
        <v>536</v>
      </c>
      <c r="X16" s="171" t="s">
        <v>533</v>
      </c>
      <c r="Y16" s="172" t="s">
        <v>866</v>
      </c>
    </row>
    <row r="17" spans="1:25" s="14" customFormat="1" ht="15.6" thickTop="1" thickBot="1" x14ac:dyDescent="0.35">
      <c r="A17" s="49" t="str">
        <f t="shared" si="0"/>
        <v>F04</v>
      </c>
      <c r="B17" s="110" t="str">
        <f>ΓΕΝΙΚΑ!$C$4</f>
        <v>VODAFONE</v>
      </c>
      <c r="C17" s="32">
        <f>IF(R17="",IF(ΓΕΝΙΚΑ!$B$19="ΝΑΙ",15300,""),"")</f>
        <v>15300</v>
      </c>
      <c r="D17" s="145" t="str">
        <f>IF(ΓΕΝΙΚΑ!$B$19="ΝΑΙ","ΠΑΝΕΛΛΑΔΙΚΑ","")</f>
        <v>ΠΑΝΕΛΛΑΔΙΚΑ</v>
      </c>
      <c r="E17" s="48" t="s">
        <v>485</v>
      </c>
      <c r="F17" s="43">
        <v>95</v>
      </c>
      <c r="G17" s="53">
        <v>8.56</v>
      </c>
      <c r="H17" s="106">
        <f t="shared" si="1"/>
        <v>8.56</v>
      </c>
      <c r="I17" s="53">
        <v>19.440000000000001</v>
      </c>
      <c r="J17" s="106">
        <f t="shared" si="2"/>
        <v>19.440000000000001</v>
      </c>
      <c r="K17" s="43">
        <f t="shared" si="3"/>
        <v>28</v>
      </c>
      <c r="L17" s="51"/>
      <c r="M17" s="51" t="str">
        <f>M3</f>
        <v>N/A</v>
      </c>
      <c r="N17" s="154" t="str">
        <f t="shared" si="6"/>
        <v/>
      </c>
      <c r="O17" s="154" t="str">
        <f t="shared" si="6"/>
        <v/>
      </c>
      <c r="P17" s="155" t="str">
        <f t="shared" si="6"/>
        <v/>
      </c>
      <c r="Q17" s="130"/>
      <c r="R17" s="89" t="str">
        <f t="shared" si="5"/>
        <v/>
      </c>
      <c r="S17" s="92" t="str">
        <f>IF(K17="",T3,"")</f>
        <v/>
      </c>
      <c r="T17" s="171"/>
      <c r="U17" s="171"/>
      <c r="V17" s="171"/>
      <c r="W17" s="171"/>
      <c r="X17" s="171"/>
      <c r="Y17" s="172" t="s">
        <v>866</v>
      </c>
    </row>
    <row r="18" spans="1:25" s="14" customFormat="1" ht="15.6" thickTop="1" thickBot="1" x14ac:dyDescent="0.35">
      <c r="A18" s="49" t="str">
        <f t="shared" si="0"/>
        <v>F04</v>
      </c>
      <c r="B18" s="110" t="str">
        <f>ΓΕΝΙΚΑ!$C$4</f>
        <v>VODAFONE</v>
      </c>
      <c r="C18" s="146">
        <f>IF(R18="",IF(ΓΕΝΙΚΑ!$B$19="ΝΑΙ",14664,""),"")</f>
        <v>14664</v>
      </c>
      <c r="D18" s="147" t="str">
        <f>IF(ΓΕΝΙΚΑ!$B$19="ΝΑΙ","Π. ΑΝΑΤΟΛΙΚΗΣ ΜΑΚΕΔΟΝΙΑΣ - ΘΡΑΚΗΣ","")</f>
        <v>Π. ΑΝΑΤΟΛΙΚΗΣ ΜΑΚΕΔΟΝΙΑΣ - ΘΡΑΚΗΣ</v>
      </c>
      <c r="E18" s="44" t="s">
        <v>37</v>
      </c>
      <c r="F18" s="45">
        <v>95</v>
      </c>
      <c r="G18" s="54">
        <v>9.91</v>
      </c>
      <c r="H18" s="106">
        <f t="shared" si="1"/>
        <v>9.91</v>
      </c>
      <c r="I18" s="54">
        <v>15.09</v>
      </c>
      <c r="J18" s="106">
        <f t="shared" si="2"/>
        <v>15.09</v>
      </c>
      <c r="K18" s="45">
        <f t="shared" si="3"/>
        <v>25</v>
      </c>
      <c r="L18" s="51"/>
      <c r="M18" s="51" t="str">
        <f t="shared" ref="M18:M30" si="7">M4</f>
        <v>N/A</v>
      </c>
      <c r="N18" s="154" t="str">
        <f t="shared" si="6"/>
        <v/>
      </c>
      <c r="O18" s="154" t="str">
        <f t="shared" si="6"/>
        <v/>
      </c>
      <c r="P18" s="155" t="str">
        <f t="shared" si="6"/>
        <v/>
      </c>
      <c r="Q18" s="130"/>
      <c r="R18" s="89" t="str">
        <f t="shared" si="5"/>
        <v/>
      </c>
      <c r="S18" s="92" t="str">
        <f>IF(AND(ΠΕΡΙΦΕΡΕΙΑ!B2="Καθόλου",OR(G4&lt;&gt;"",I4&lt;&gt;"",L4&lt;&gt;"")),Y4,IF(AND(K18="",ΠΕΡΙΦΕΡΕΙΑ!B2&lt;&gt;"Καθόλου"),T4,""))</f>
        <v/>
      </c>
      <c r="T18" s="171"/>
      <c r="U18" s="171"/>
      <c r="V18" s="171"/>
      <c r="W18" s="171"/>
      <c r="X18" s="171"/>
      <c r="Y18" s="172" t="s">
        <v>866</v>
      </c>
    </row>
    <row r="19" spans="1:25" s="14" customFormat="1" ht="15.6" thickTop="1" thickBot="1" x14ac:dyDescent="0.35">
      <c r="A19" s="49" t="str">
        <f t="shared" si="0"/>
        <v>F04</v>
      </c>
      <c r="B19" s="110" t="str">
        <f>ΓΕΝΙΚΑ!$C$4</f>
        <v>VODAFONE</v>
      </c>
      <c r="C19" s="31">
        <f>IF(R19="",IF(ΓΕΝΙΚΑ!$B$19="ΝΑΙ",14666,""),"")</f>
        <v>14666</v>
      </c>
      <c r="D19" s="148" t="str">
        <f>IF(ΓΕΝΙΚΑ!$B$19="ΝΑΙ","Π. ΑΤΤΙΚΗΣ","")</f>
        <v>Π. ΑΤΤΙΚΗΣ</v>
      </c>
      <c r="E19" s="45" t="s">
        <v>38</v>
      </c>
      <c r="F19" s="45">
        <v>95</v>
      </c>
      <c r="G19" s="54">
        <v>7.56</v>
      </c>
      <c r="H19" s="106">
        <f t="shared" si="1"/>
        <v>7.56</v>
      </c>
      <c r="I19" s="54">
        <v>17.440000000000001</v>
      </c>
      <c r="J19" s="106">
        <f t="shared" si="2"/>
        <v>17.440000000000001</v>
      </c>
      <c r="K19" s="45">
        <f t="shared" si="3"/>
        <v>25</v>
      </c>
      <c r="L19" s="51"/>
      <c r="M19" s="51" t="str">
        <f t="shared" si="7"/>
        <v>N/A</v>
      </c>
      <c r="N19" s="154" t="str">
        <f t="shared" si="6"/>
        <v/>
      </c>
      <c r="O19" s="154" t="str">
        <f t="shared" si="6"/>
        <v/>
      </c>
      <c r="P19" s="155" t="str">
        <f t="shared" si="6"/>
        <v/>
      </c>
      <c r="Q19" s="130"/>
      <c r="R19" s="89" t="str">
        <f t="shared" si="5"/>
        <v/>
      </c>
      <c r="S19" s="92" t="str">
        <f>IF(AND(ΠΕΡΙΦΕΡΕΙΑ!B3="Καθόλου",OR(G5&lt;&gt;"",I5&lt;&gt;"",L5&lt;&gt;"")),Y5,IF(AND(K19="",ΠΕΡΙΦΕΡΕΙΑ!B3&lt;&gt;"Καθόλου"),T5,""))</f>
        <v/>
      </c>
      <c r="T19" s="171"/>
      <c r="U19" s="171"/>
      <c r="V19" s="171"/>
      <c r="W19" s="171"/>
      <c r="X19" s="171"/>
      <c r="Y19" s="172" t="s">
        <v>866</v>
      </c>
    </row>
    <row r="20" spans="1:25" s="14" customFormat="1" ht="15.6" thickTop="1" thickBot="1" x14ac:dyDescent="0.35">
      <c r="A20" s="49" t="str">
        <f t="shared" si="0"/>
        <v>F04</v>
      </c>
      <c r="B20" s="110" t="str">
        <f>ΓΕΝΙΚΑ!$C$4</f>
        <v>VODAFONE</v>
      </c>
      <c r="C20" s="146">
        <f>IF(R20="",IF(ΓΕΝΙΚΑ!$B$19="ΝΑΙ",14668,""),"")</f>
        <v>14668</v>
      </c>
      <c r="D20" s="147" t="str">
        <f>IF(ΓΕΝΙΚΑ!$B$19="ΝΑΙ","Π. ΒΟΡΕΙΟΥ ΑΙΓΑΙΟΥ","")</f>
        <v>Π. ΒΟΡΕΙΟΥ ΑΙΓΑΙΟΥ</v>
      </c>
      <c r="E20" s="44" t="s">
        <v>402</v>
      </c>
      <c r="F20" s="45">
        <v>95</v>
      </c>
      <c r="G20" s="54">
        <v>10.55</v>
      </c>
      <c r="H20" s="106">
        <f t="shared" si="1"/>
        <v>10.55</v>
      </c>
      <c r="I20" s="54">
        <v>22.45</v>
      </c>
      <c r="J20" s="106">
        <f t="shared" si="2"/>
        <v>22.45</v>
      </c>
      <c r="K20" s="45">
        <f t="shared" si="3"/>
        <v>33</v>
      </c>
      <c r="L20" s="51"/>
      <c r="M20" s="51" t="str">
        <f t="shared" si="7"/>
        <v>N/A</v>
      </c>
      <c r="N20" s="154" t="str">
        <f t="shared" si="6"/>
        <v/>
      </c>
      <c r="O20" s="154" t="str">
        <f t="shared" si="6"/>
        <v/>
      </c>
      <c r="P20" s="155" t="str">
        <f t="shared" si="6"/>
        <v/>
      </c>
      <c r="Q20" s="130"/>
      <c r="R20" s="89" t="str">
        <f t="shared" si="5"/>
        <v/>
      </c>
      <c r="S20" s="92" t="str">
        <f>IF(AND(ΠΕΡΙΦΕΡΕΙΑ!B4="Καθόλου",OR(G6&lt;&gt;"",I6&lt;&gt;"",L6&lt;&gt;"")),Y6,IF(AND(K20="",ΠΕΡΙΦΕΡΕΙΑ!B4&lt;&gt;"Καθόλου"),T6,""))</f>
        <v/>
      </c>
      <c r="T20" s="171"/>
      <c r="U20" s="171"/>
      <c r="V20" s="171"/>
      <c r="W20" s="171"/>
      <c r="X20" s="171"/>
      <c r="Y20" s="172" t="s">
        <v>866</v>
      </c>
    </row>
    <row r="21" spans="1:25" s="14" customFormat="1" ht="15.6" thickTop="1" thickBot="1" x14ac:dyDescent="0.35">
      <c r="A21" s="49" t="str">
        <f t="shared" si="0"/>
        <v>F04</v>
      </c>
      <c r="B21" s="110" t="str">
        <f>ΓΕΝΙΚΑ!$C$4</f>
        <v>VODAFONE</v>
      </c>
      <c r="C21" s="31">
        <f>IF(R21="",IF(ΓΕΝΙΚΑ!$B$19="ΝΑΙ",14670,""),"")</f>
        <v>14670</v>
      </c>
      <c r="D21" s="148" t="str">
        <f>IF(ΓΕΝΙΚΑ!$B$19="ΝΑΙ","Π. ΔΥΤΙΚΗΣ ΕΛΛΑΔΑΣ","")</f>
        <v>Π. ΔΥΤΙΚΗΣ ΕΛΛΑΔΑΣ</v>
      </c>
      <c r="E21" s="45" t="s">
        <v>403</v>
      </c>
      <c r="F21" s="45">
        <v>95</v>
      </c>
      <c r="G21" s="54">
        <v>9.9499999999999993</v>
      </c>
      <c r="H21" s="106">
        <f t="shared" si="1"/>
        <v>9.9499999999999993</v>
      </c>
      <c r="I21" s="54">
        <v>21.05</v>
      </c>
      <c r="J21" s="106">
        <f t="shared" si="2"/>
        <v>21.05</v>
      </c>
      <c r="K21" s="45">
        <f t="shared" si="3"/>
        <v>31</v>
      </c>
      <c r="L21" s="51"/>
      <c r="M21" s="51" t="str">
        <f t="shared" si="7"/>
        <v>N/A</v>
      </c>
      <c r="N21" s="154" t="str">
        <f t="shared" si="6"/>
        <v/>
      </c>
      <c r="O21" s="154" t="str">
        <f t="shared" si="6"/>
        <v/>
      </c>
      <c r="P21" s="155" t="str">
        <f t="shared" si="6"/>
        <v/>
      </c>
      <c r="Q21" s="130"/>
      <c r="R21" s="89" t="str">
        <f t="shared" si="5"/>
        <v/>
      </c>
      <c r="S21" s="92" t="str">
        <f>IF(AND(ΠΕΡΙΦΕΡΕΙΑ!B5="Καθόλου",OR(G7&lt;&gt;"",I7&lt;&gt;"",L7&lt;&gt;"")),Y7,IF(AND(K21="",ΠΕΡΙΦΕΡΕΙΑ!B5&lt;&gt;"Καθόλου"),T7,""))</f>
        <v/>
      </c>
      <c r="T21" s="171"/>
      <c r="U21" s="171"/>
      <c r="V21" s="171"/>
      <c r="W21" s="171"/>
      <c r="X21" s="171"/>
      <c r="Y21" s="172" t="s">
        <v>866</v>
      </c>
    </row>
    <row r="22" spans="1:25" s="14" customFormat="1" ht="15.6" thickTop="1" thickBot="1" x14ac:dyDescent="0.35">
      <c r="A22" s="49" t="str">
        <f t="shared" si="0"/>
        <v>F04</v>
      </c>
      <c r="B22" s="110" t="str">
        <f>ΓΕΝΙΚΑ!$C$4</f>
        <v>VODAFONE</v>
      </c>
      <c r="C22" s="146">
        <f>IF(R22="",IF(ΓΕΝΙΚΑ!$B$19="ΝΑΙ",14672,""),"")</f>
        <v>14672</v>
      </c>
      <c r="D22" s="147" t="str">
        <f>IF(ΓΕΝΙΚΑ!$B$19="ΝΑΙ","Π. ΔΥΤΙΚΗΣ ΜΑΚΕΔΟΝΙΑΣ","")</f>
        <v>Π. ΔΥΤΙΚΗΣ ΜΑΚΕΔΟΝΙΑΣ</v>
      </c>
      <c r="E22" s="44" t="s">
        <v>404</v>
      </c>
      <c r="F22" s="45">
        <v>95</v>
      </c>
      <c r="G22" s="54">
        <v>9.3800000000000008</v>
      </c>
      <c r="H22" s="106">
        <f t="shared" si="1"/>
        <v>9.3800000000000008</v>
      </c>
      <c r="I22" s="54">
        <v>24.62</v>
      </c>
      <c r="J22" s="106">
        <f t="shared" si="2"/>
        <v>24.62</v>
      </c>
      <c r="K22" s="45">
        <f t="shared" si="3"/>
        <v>34</v>
      </c>
      <c r="L22" s="51"/>
      <c r="M22" s="51" t="str">
        <f t="shared" si="7"/>
        <v>N/A</v>
      </c>
      <c r="N22" s="154" t="str">
        <f t="shared" si="6"/>
        <v/>
      </c>
      <c r="O22" s="154" t="str">
        <f t="shared" si="6"/>
        <v/>
      </c>
      <c r="P22" s="155" t="str">
        <f t="shared" si="6"/>
        <v/>
      </c>
      <c r="Q22" s="130"/>
      <c r="R22" s="89" t="str">
        <f t="shared" si="5"/>
        <v/>
      </c>
      <c r="S22" s="92" t="str">
        <f>IF(AND(ΠΕΡΙΦΕΡΕΙΑ!B6="Καθόλου",OR(G8&lt;&gt;"",I8&lt;&gt;"",L8&lt;&gt;"")),Y8,IF(AND(K22="",ΠΕΡΙΦΕΡΕΙΑ!B6&lt;&gt;"Καθόλου"),T8,""))</f>
        <v/>
      </c>
      <c r="T22" s="171"/>
      <c r="U22" s="171"/>
      <c r="V22" s="171"/>
      <c r="W22" s="171"/>
      <c r="X22" s="171"/>
      <c r="Y22" s="172" t="s">
        <v>866</v>
      </c>
    </row>
    <row r="23" spans="1:25" s="14" customFormat="1" ht="15.6" thickTop="1" thickBot="1" x14ac:dyDescent="0.35">
      <c r="A23" s="49" t="str">
        <f t="shared" si="0"/>
        <v>F04</v>
      </c>
      <c r="B23" s="110" t="str">
        <f>ΓΕΝΙΚΑ!$C$4</f>
        <v>VODAFONE</v>
      </c>
      <c r="C23" s="31">
        <f>IF(R23="",IF(ΓΕΝΙΚΑ!$B$19="ΝΑΙ",14674,""),"")</f>
        <v>14674</v>
      </c>
      <c r="D23" s="148" t="str">
        <f>IF(ΓΕΝΙΚΑ!$B$19="ΝΑΙ","Π. ΗΠΕΙΡΟΥ","")</f>
        <v>Π. ΗΠΕΙΡΟΥ</v>
      </c>
      <c r="E23" s="45" t="s">
        <v>405</v>
      </c>
      <c r="F23" s="45">
        <v>95</v>
      </c>
      <c r="G23" s="54">
        <v>9.34</v>
      </c>
      <c r="H23" s="106">
        <f t="shared" si="1"/>
        <v>9.34</v>
      </c>
      <c r="I23" s="54">
        <v>25.66</v>
      </c>
      <c r="J23" s="106">
        <f t="shared" si="2"/>
        <v>25.66</v>
      </c>
      <c r="K23" s="45">
        <f t="shared" si="3"/>
        <v>35</v>
      </c>
      <c r="L23" s="51"/>
      <c r="M23" s="51" t="str">
        <f t="shared" si="7"/>
        <v>N/A</v>
      </c>
      <c r="N23" s="154" t="str">
        <f t="shared" si="6"/>
        <v/>
      </c>
      <c r="O23" s="154" t="str">
        <f t="shared" si="6"/>
        <v/>
      </c>
      <c r="P23" s="155" t="str">
        <f t="shared" si="6"/>
        <v/>
      </c>
      <c r="Q23" s="130"/>
      <c r="R23" s="89" t="str">
        <f t="shared" si="5"/>
        <v/>
      </c>
      <c r="S23" s="92" t="str">
        <f>IF(AND(ΠΕΡΙΦΕΡΕΙΑ!B7="Καθόλου",OR(G9&lt;&gt;"",I9&lt;&gt;"",L9&lt;&gt;"")),Y9,IF(AND(K23="",ΠΕΡΙΦΕΡΕΙΑ!B7&lt;&gt;"Καθόλου"),T9,""))</f>
        <v/>
      </c>
      <c r="T23" s="171"/>
      <c r="U23" s="171"/>
      <c r="V23" s="171"/>
      <c r="W23" s="171"/>
      <c r="X23" s="171"/>
      <c r="Y23" s="172" t="s">
        <v>866</v>
      </c>
    </row>
    <row r="24" spans="1:25" s="14" customFormat="1" ht="15.6" thickTop="1" thickBot="1" x14ac:dyDescent="0.35">
      <c r="A24" s="49" t="str">
        <f t="shared" si="0"/>
        <v>F04</v>
      </c>
      <c r="B24" s="110" t="str">
        <f>ΓΕΝΙΚΑ!$C$4</f>
        <v>VODAFONE</v>
      </c>
      <c r="C24" s="146">
        <f>IF(R24="",IF(ΓΕΝΙΚΑ!$B$19="ΝΑΙ",14676,""),"")</f>
        <v>14676</v>
      </c>
      <c r="D24" s="147" t="str">
        <f>IF(ΓΕΝΙΚΑ!$B$19="ΝΑΙ","Π. ΘΕΣΣΑΛΙΑΣ","")</f>
        <v>Π. ΘΕΣΣΑΛΙΑΣ</v>
      </c>
      <c r="E24" s="44" t="s">
        <v>406</v>
      </c>
      <c r="F24" s="45">
        <v>95</v>
      </c>
      <c r="G24" s="54">
        <v>10.01</v>
      </c>
      <c r="H24" s="106">
        <f t="shared" si="1"/>
        <v>10.01</v>
      </c>
      <c r="I24" s="54" t="s">
        <v>879</v>
      </c>
      <c r="J24" s="106" t="str">
        <f t="shared" si="2"/>
        <v>N/A</v>
      </c>
      <c r="K24" s="45">
        <f t="shared" si="3"/>
        <v>10</v>
      </c>
      <c r="L24" s="51"/>
      <c r="M24" s="51" t="str">
        <f t="shared" si="7"/>
        <v>N/A</v>
      </c>
      <c r="N24" s="154" t="str">
        <f t="shared" si="6"/>
        <v/>
      </c>
      <c r="O24" s="154" t="str">
        <f t="shared" si="6"/>
        <v/>
      </c>
      <c r="P24" s="155" t="str">
        <f t="shared" si="6"/>
        <v/>
      </c>
      <c r="Q24" s="130"/>
      <c r="R24" s="89" t="str">
        <f t="shared" si="5"/>
        <v/>
      </c>
      <c r="S24" s="92" t="str">
        <f>IF(AND(ΠΕΡΙΦΕΡΕΙΑ!B8="Καθόλου",OR(G10&lt;&gt;"",I10&lt;&gt;"",L10&lt;&gt;"")),Y10,IF(AND(K24="",ΠΕΡΙΦΕΡΕΙΑ!B8&lt;&gt;"Καθόλου"),T10,""))</f>
        <v/>
      </c>
      <c r="T24" s="171"/>
      <c r="U24" s="171"/>
      <c r="V24" s="171"/>
      <c r="W24" s="171"/>
      <c r="X24" s="171"/>
      <c r="Y24" s="172" t="s">
        <v>866</v>
      </c>
    </row>
    <row r="25" spans="1:25" s="14" customFormat="1" ht="15.6" thickTop="1" thickBot="1" x14ac:dyDescent="0.35">
      <c r="A25" s="49" t="str">
        <f t="shared" si="0"/>
        <v>F04</v>
      </c>
      <c r="B25" s="110" t="str">
        <f>ΓΕΝΙΚΑ!$C$4</f>
        <v>VODAFONE</v>
      </c>
      <c r="C25" s="31">
        <f>IF(R25="",IF(ΓΕΝΙΚΑ!$B$19="ΝΑΙ",14678,""),"")</f>
        <v>14678</v>
      </c>
      <c r="D25" s="148" t="str">
        <f>IF(ΓΕΝΙΚΑ!$B$19="ΝΑΙ","Π. ΙΟΝΙΩΝ ΝΗΣΩΝ","")</f>
        <v>Π. ΙΟΝΙΩΝ ΝΗΣΩΝ</v>
      </c>
      <c r="E25" s="45" t="s">
        <v>407</v>
      </c>
      <c r="F25" s="45">
        <v>95</v>
      </c>
      <c r="G25" s="54">
        <v>8.5299999999999994</v>
      </c>
      <c r="H25" s="106">
        <f t="shared" si="1"/>
        <v>8.5299999999999994</v>
      </c>
      <c r="I25" s="54">
        <v>21.47</v>
      </c>
      <c r="J25" s="106">
        <f t="shared" si="2"/>
        <v>21.47</v>
      </c>
      <c r="K25" s="45">
        <f t="shared" si="3"/>
        <v>30</v>
      </c>
      <c r="L25" s="51"/>
      <c r="M25" s="51" t="str">
        <f t="shared" si="7"/>
        <v>N/A</v>
      </c>
      <c r="N25" s="154" t="str">
        <f t="shared" si="6"/>
        <v/>
      </c>
      <c r="O25" s="154" t="str">
        <f t="shared" si="6"/>
        <v/>
      </c>
      <c r="P25" s="155" t="str">
        <f t="shared" si="6"/>
        <v/>
      </c>
      <c r="Q25" s="130"/>
      <c r="R25" s="89" t="str">
        <f t="shared" si="5"/>
        <v/>
      </c>
      <c r="S25" s="92" t="str">
        <f>IF(AND(ΠΕΡΙΦΕΡΕΙΑ!B9="Καθόλου",OR(G11&lt;&gt;"",I11&lt;&gt;"",L11&lt;&gt;"")),Y11,IF(AND(K25="",ΠΕΡΙΦΕΡΕΙΑ!B9&lt;&gt;"Καθόλου"),T11,""))</f>
        <v/>
      </c>
      <c r="T25" s="171"/>
      <c r="U25" s="171"/>
      <c r="V25" s="171"/>
      <c r="W25" s="171"/>
      <c r="X25" s="171"/>
      <c r="Y25" s="172" t="s">
        <v>866</v>
      </c>
    </row>
    <row r="26" spans="1:25" s="14" customFormat="1" ht="15.6" thickTop="1" thickBot="1" x14ac:dyDescent="0.35">
      <c r="A26" s="49" t="str">
        <f t="shared" si="0"/>
        <v>F04</v>
      </c>
      <c r="B26" s="110" t="str">
        <f>ΓΕΝΙΚΑ!$C$4</f>
        <v>VODAFONE</v>
      </c>
      <c r="C26" s="146">
        <f>IF(R26="",IF(ΓΕΝΙΚΑ!$B$19="ΝΑΙ",14680,""),"")</f>
        <v>14680</v>
      </c>
      <c r="D26" s="147" t="str">
        <f>IF(ΓΕΝΙΚΑ!$B$19="ΝΑΙ","Π. ΚΕΝΤΡΙΚΗΣ ΜΑΚΕΔΟΝΙΑΣ","")</f>
        <v>Π. ΚΕΝΤΡΙΚΗΣ ΜΑΚΕΔΟΝΙΑΣ</v>
      </c>
      <c r="E26" s="44" t="s">
        <v>408</v>
      </c>
      <c r="F26" s="45">
        <v>95</v>
      </c>
      <c r="G26" s="54">
        <v>8.01</v>
      </c>
      <c r="H26" s="106">
        <f t="shared" si="1"/>
        <v>8.01</v>
      </c>
      <c r="I26" s="54">
        <v>19.989999999999998</v>
      </c>
      <c r="J26" s="106">
        <f t="shared" si="2"/>
        <v>19.989999999999998</v>
      </c>
      <c r="K26" s="45">
        <f t="shared" si="3"/>
        <v>28</v>
      </c>
      <c r="L26" s="51"/>
      <c r="M26" s="51" t="str">
        <f t="shared" si="7"/>
        <v>N/A</v>
      </c>
      <c r="N26" s="154" t="str">
        <f t="shared" si="6"/>
        <v/>
      </c>
      <c r="O26" s="154" t="str">
        <f t="shared" si="6"/>
        <v/>
      </c>
      <c r="P26" s="155" t="str">
        <f t="shared" si="6"/>
        <v/>
      </c>
      <c r="Q26" s="130"/>
      <c r="R26" s="89" t="str">
        <f t="shared" si="5"/>
        <v/>
      </c>
      <c r="S26" s="92" t="str">
        <f>IF(AND(ΠΕΡΙΦΕΡΕΙΑ!B10="Καθόλου",OR(G12&lt;&gt;"",I12&lt;&gt;"",L12&lt;&gt;"")),Y12,IF(AND(K26="",ΠΕΡΙΦΕΡΕΙΑ!B10&lt;&gt;"Καθόλου"),T12,""))</f>
        <v/>
      </c>
      <c r="T26" s="171"/>
      <c r="U26" s="171"/>
      <c r="V26" s="171"/>
      <c r="W26" s="171"/>
      <c r="X26" s="171"/>
      <c r="Y26" s="172" t="s">
        <v>866</v>
      </c>
    </row>
    <row r="27" spans="1:25" s="14" customFormat="1" ht="15.6" thickTop="1" thickBot="1" x14ac:dyDescent="0.35">
      <c r="A27" s="49" t="str">
        <f t="shared" si="0"/>
        <v>F04</v>
      </c>
      <c r="B27" s="110" t="str">
        <f>ΓΕΝΙΚΑ!$C$4</f>
        <v>VODAFONE</v>
      </c>
      <c r="C27" s="31">
        <f>IF(R27="",IF(ΓΕΝΙΚΑ!$B$19="ΝΑΙ",14682,""),"")</f>
        <v>14682</v>
      </c>
      <c r="D27" s="148" t="str">
        <f>IF(ΓΕΝΙΚΑ!$B$19="ΝΑΙ","Π. ΚΡΗΤΗΣ","")</f>
        <v>Π. ΚΡΗΤΗΣ</v>
      </c>
      <c r="E27" s="45" t="s">
        <v>409</v>
      </c>
      <c r="F27" s="45">
        <v>95</v>
      </c>
      <c r="G27" s="54">
        <v>6.93</v>
      </c>
      <c r="H27" s="106">
        <f t="shared" si="1"/>
        <v>6.93</v>
      </c>
      <c r="I27" s="54">
        <v>16.07</v>
      </c>
      <c r="J27" s="106">
        <f t="shared" si="2"/>
        <v>16.07</v>
      </c>
      <c r="K27" s="45">
        <f t="shared" si="3"/>
        <v>23</v>
      </c>
      <c r="L27" s="51"/>
      <c r="M27" s="51" t="str">
        <f t="shared" si="7"/>
        <v>N/A</v>
      </c>
      <c r="N27" s="154" t="str">
        <f t="shared" si="6"/>
        <v/>
      </c>
      <c r="O27" s="154" t="str">
        <f t="shared" si="6"/>
        <v/>
      </c>
      <c r="P27" s="155" t="str">
        <f t="shared" si="6"/>
        <v/>
      </c>
      <c r="Q27" s="130"/>
      <c r="R27" s="89" t="str">
        <f t="shared" si="5"/>
        <v/>
      </c>
      <c r="S27" s="92" t="str">
        <f>IF(AND(ΠΕΡΙΦΕΡΕΙΑ!B11="Καθόλου",OR(G13&lt;&gt;"",I13&lt;&gt;"",L13&lt;&gt;"")),Y13,IF(AND(K27="",ΠΕΡΙΦΕΡΕΙΑ!B11&lt;&gt;"Καθόλου"),T13,""))</f>
        <v/>
      </c>
      <c r="T27" s="171"/>
      <c r="U27" s="171"/>
      <c r="V27" s="171"/>
      <c r="W27" s="171"/>
      <c r="X27" s="171"/>
      <c r="Y27" s="172" t="s">
        <v>866</v>
      </c>
    </row>
    <row r="28" spans="1:25" s="14" customFormat="1" ht="15.6" thickTop="1" thickBot="1" x14ac:dyDescent="0.35">
      <c r="A28" s="49" t="str">
        <f t="shared" si="0"/>
        <v>F04</v>
      </c>
      <c r="B28" s="110" t="str">
        <f>ΓΕΝΙΚΑ!$C$4</f>
        <v>VODAFONE</v>
      </c>
      <c r="C28" s="146">
        <f>IF(R28="",IF(ΓΕΝΙΚΑ!$B$19="ΝΑΙ",14684,""),"")</f>
        <v>14684</v>
      </c>
      <c r="D28" s="147" t="str">
        <f>IF(ΓΕΝΙΚΑ!$B$19="ΝΑΙ","Π. ΝΟΤΙΟΥ ΑΙΓΑΙΟΥ","")</f>
        <v>Π. ΝΟΤΙΟΥ ΑΙΓΑΙΟΥ</v>
      </c>
      <c r="E28" s="44" t="s">
        <v>410</v>
      </c>
      <c r="F28" s="45">
        <v>95</v>
      </c>
      <c r="G28" s="54">
        <v>11.1</v>
      </c>
      <c r="H28" s="106">
        <f t="shared" si="1"/>
        <v>11.1</v>
      </c>
      <c r="I28" s="54">
        <v>21.9</v>
      </c>
      <c r="J28" s="106">
        <f t="shared" si="2"/>
        <v>21.9</v>
      </c>
      <c r="K28" s="45">
        <f t="shared" si="3"/>
        <v>33</v>
      </c>
      <c r="L28" s="51"/>
      <c r="M28" s="51" t="str">
        <f t="shared" si="7"/>
        <v>N/A</v>
      </c>
      <c r="N28" s="154" t="str">
        <f t="shared" si="6"/>
        <v/>
      </c>
      <c r="O28" s="154" t="str">
        <f t="shared" si="6"/>
        <v/>
      </c>
      <c r="P28" s="155" t="str">
        <f t="shared" si="6"/>
        <v/>
      </c>
      <c r="Q28" s="130"/>
      <c r="R28" s="89" t="str">
        <f t="shared" si="5"/>
        <v/>
      </c>
      <c r="S28" s="92" t="str">
        <f>IF(AND(ΠΕΡΙΦΕΡΕΙΑ!B12="Καθόλου",OR(G14&lt;&gt;"",I14&lt;&gt;"",L14&lt;&gt;"")),Y14,IF(AND(K28="",ΠΕΡΙΦΕΡΕΙΑ!B12&lt;&gt;"Καθόλου"),T14,""))</f>
        <v/>
      </c>
      <c r="T28" s="171"/>
      <c r="U28" s="171"/>
      <c r="V28" s="171"/>
      <c r="W28" s="171"/>
      <c r="X28" s="171"/>
      <c r="Y28" s="172" t="s">
        <v>866</v>
      </c>
    </row>
    <row r="29" spans="1:25" s="14" customFormat="1" ht="15.6" thickTop="1" thickBot="1" x14ac:dyDescent="0.35">
      <c r="A29" s="49" t="str">
        <f t="shared" si="0"/>
        <v>F04</v>
      </c>
      <c r="B29" s="110" t="str">
        <f>ΓΕΝΙΚΑ!$C$4</f>
        <v>VODAFONE</v>
      </c>
      <c r="C29" s="31">
        <f>IF(R29="",IF(ΓΕΝΙΚΑ!$B$19="ΝΑΙ",14686,""),"")</f>
        <v>14686</v>
      </c>
      <c r="D29" s="148" t="str">
        <f>IF(ΓΕΝΙΚΑ!$B$19="ΝΑΙ","Π. ΠΕΛΟΠΟΝΝΗΣΟΥ","")</f>
        <v>Π. ΠΕΛΟΠΟΝΝΗΣΟΥ</v>
      </c>
      <c r="E29" s="45" t="s">
        <v>411</v>
      </c>
      <c r="F29" s="45">
        <v>95</v>
      </c>
      <c r="G29" s="54">
        <v>8.7100000000000009</v>
      </c>
      <c r="H29" s="106">
        <f t="shared" si="1"/>
        <v>8.7100000000000009</v>
      </c>
      <c r="I29" s="54">
        <v>17.29</v>
      </c>
      <c r="J29" s="106">
        <f t="shared" si="2"/>
        <v>17.29</v>
      </c>
      <c r="K29" s="45">
        <f t="shared" si="3"/>
        <v>26</v>
      </c>
      <c r="L29" s="51"/>
      <c r="M29" s="51" t="str">
        <f t="shared" si="7"/>
        <v>N/A</v>
      </c>
      <c r="N29" s="154" t="str">
        <f t="shared" si="6"/>
        <v/>
      </c>
      <c r="O29" s="154" t="str">
        <f t="shared" si="6"/>
        <v/>
      </c>
      <c r="P29" s="155" t="str">
        <f t="shared" si="6"/>
        <v/>
      </c>
      <c r="Q29" s="130"/>
      <c r="R29" s="89" t="str">
        <f t="shared" si="5"/>
        <v/>
      </c>
      <c r="S29" s="92" t="str">
        <f>IF(AND(ΠΕΡΙΦΕΡΕΙΑ!B13="Καθόλου",OR(G15&lt;&gt;"",I15&lt;&gt;"",L15&lt;&gt;"")),Y15,IF(AND(K29="",ΠΕΡΙΦΕΡΕΙΑ!B13&lt;&gt;"Καθόλου"),T15,""))</f>
        <v/>
      </c>
      <c r="T29" s="171"/>
      <c r="U29" s="171"/>
      <c r="V29" s="171"/>
      <c r="W29" s="171"/>
      <c r="X29" s="171"/>
      <c r="Y29" s="172" t="s">
        <v>866</v>
      </c>
    </row>
    <row r="30" spans="1:25" s="14" customFormat="1" ht="15.6" thickTop="1" thickBot="1" x14ac:dyDescent="0.35">
      <c r="A30" s="50" t="str">
        <f t="shared" si="0"/>
        <v>F04</v>
      </c>
      <c r="B30" s="110" t="str">
        <f>ΓΕΝΙΚΑ!$C$4</f>
        <v>VODAFONE</v>
      </c>
      <c r="C30" s="149">
        <f>IF(R30="",IF(ΓΕΝΙΚΑ!$B$19="ΝΑΙ",14688,""),"")</f>
        <v>14688</v>
      </c>
      <c r="D30" s="150" t="str">
        <f>IF(ΓΕΝΙΚΑ!$B$19="ΝΑΙ","Π. ΣΤΕΡΕΑΣ ΕΛΛΑΔΑΣ","")</f>
        <v>Π. ΣΤΕΡΕΑΣ ΕΛΛΑΔΑΣ</v>
      </c>
      <c r="E30" s="46" t="s">
        <v>412</v>
      </c>
      <c r="F30" s="47">
        <v>95</v>
      </c>
      <c r="G30" s="55">
        <v>7.09</v>
      </c>
      <c r="H30" s="106">
        <f t="shared" si="1"/>
        <v>7.09</v>
      </c>
      <c r="I30" s="55">
        <v>14.91</v>
      </c>
      <c r="J30" s="106">
        <f t="shared" si="2"/>
        <v>14.91</v>
      </c>
      <c r="K30" s="47">
        <f t="shared" si="3"/>
        <v>22</v>
      </c>
      <c r="L30" s="52"/>
      <c r="M30" s="52" t="str">
        <f t="shared" si="7"/>
        <v>N/A</v>
      </c>
      <c r="N30" s="156" t="str">
        <f t="shared" si="6"/>
        <v/>
      </c>
      <c r="O30" s="156" t="str">
        <f t="shared" si="6"/>
        <v/>
      </c>
      <c r="P30" s="157" t="str">
        <f>P$3</f>
        <v/>
      </c>
      <c r="Q30" s="130"/>
      <c r="R30" s="90" t="str">
        <f t="shared" si="5"/>
        <v/>
      </c>
      <c r="S30" s="92" t="str">
        <f>IF(AND(ΠΕΡΙΦΕΡΕΙΑ!B14="Καθόλου",OR(G16&lt;&gt;"",I16&lt;&gt;"",L16&lt;&gt;"")),Y16,IF(AND(K30="",ΠΕΡΙΦΕΡΕΙΑ!B14&lt;&gt;"Καθόλου"),T16,""))</f>
        <v/>
      </c>
      <c r="T30" s="171"/>
      <c r="U30" s="171"/>
      <c r="V30" s="171"/>
      <c r="W30" s="171"/>
      <c r="X30" s="171"/>
      <c r="Y30" s="172" t="s">
        <v>866</v>
      </c>
    </row>
  </sheetData>
  <sheetProtection algorithmName="SHA-512" hashValue="QsjpMgJsfU9usERqsQOmnA5FFOS6jV8RZIZyLK4BPdj9/ozTYklXfZnIKcoNIx7LNYhtj62JuRvZp9DZFbieKg==" saltValue="/X/egADuXfv+ZXMjgXOf0g==" spinCount="100000" sheet="1" objects="1" scenario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 xr:uid="{00000000-0002-0000-0700-000000000000}"/>
    <dataValidation type="list" allowBlank="1" showInputMessage="1" showErrorMessage="1" sqref="F3:F30" xr:uid="{00000000-0002-0000-0700-000001000000}">
      <formula1>Percent.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O16"/>
  <sheetViews>
    <sheetView topLeftCell="E2" zoomScaleNormal="100" workbookViewId="0">
      <selection activeCell="K9" sqref="K9"/>
    </sheetView>
  </sheetViews>
  <sheetFormatPr defaultColWidth="9.109375" defaultRowHeight="14.4" zeroHeight="1" x14ac:dyDescent="0.3"/>
  <cols>
    <col min="1" max="1" width="50.109375" style="130" customWidth="1"/>
    <col min="2" max="2" width="22.44140625" style="131" hidden="1" customWidth="1"/>
    <col min="3" max="4" width="23" style="130" hidden="1" customWidth="1"/>
    <col min="5" max="5" width="38.5546875" style="130" customWidth="1"/>
    <col min="6" max="6" width="28.33203125" style="131" customWidth="1"/>
    <col min="7" max="7" width="28.33203125" style="130" customWidth="1"/>
    <col min="8" max="8" width="28.33203125" style="131" hidden="1" customWidth="1"/>
    <col min="9" max="9" width="28.33203125" style="130" customWidth="1"/>
    <col min="10" max="10" width="28.33203125" style="131" hidden="1" customWidth="1"/>
    <col min="11" max="11" width="40.33203125" style="130" customWidth="1"/>
    <col min="12" max="12" width="31.33203125" style="130" customWidth="1"/>
    <col min="13" max="13" width="7.109375" style="130" customWidth="1"/>
    <col min="14" max="14" width="16.109375" style="130" customWidth="1"/>
    <col min="15" max="15" width="51.33203125" style="130" customWidth="1"/>
    <col min="16" max="16384" width="9.109375" style="130"/>
  </cols>
  <sheetData>
    <row r="1" spans="1:15" ht="15" hidden="1" thickBot="1" x14ac:dyDescent="0.35">
      <c r="A1" t="s">
        <v>478</v>
      </c>
      <c r="B1" s="107" t="s">
        <v>479</v>
      </c>
      <c r="C1" s="2" t="s">
        <v>539</v>
      </c>
      <c r="D1" s="2" t="s">
        <v>540</v>
      </c>
      <c r="E1" s="2" t="s">
        <v>480</v>
      </c>
      <c r="F1" s="107" t="s">
        <v>496</v>
      </c>
      <c r="G1" t="s">
        <v>482</v>
      </c>
      <c r="H1" s="107" t="s">
        <v>497</v>
      </c>
      <c r="I1" t="s">
        <v>482</v>
      </c>
      <c r="J1" s="107" t="s">
        <v>498</v>
      </c>
      <c r="K1" s="14" t="s">
        <v>499</v>
      </c>
      <c r="L1" s="14" t="s">
        <v>484</v>
      </c>
      <c r="N1" s="14" t="s">
        <v>482</v>
      </c>
      <c r="O1" s="14" t="s">
        <v>482</v>
      </c>
    </row>
    <row r="2" spans="1:15" ht="63.75" customHeight="1" thickBot="1" x14ac:dyDescent="0.35">
      <c r="A2" s="3" t="s">
        <v>420</v>
      </c>
      <c r="B2" s="108" t="s">
        <v>27</v>
      </c>
      <c r="C2" s="4"/>
      <c r="D2" s="4"/>
      <c r="E2" s="4" t="s">
        <v>473</v>
      </c>
      <c r="F2" s="108" t="s">
        <v>516</v>
      </c>
      <c r="G2" s="4" t="s">
        <v>518</v>
      </c>
      <c r="H2" s="108" t="s">
        <v>518</v>
      </c>
      <c r="I2" s="4" t="s">
        <v>517</v>
      </c>
      <c r="J2" s="108" t="s">
        <v>517</v>
      </c>
      <c r="K2" s="4" t="s">
        <v>455</v>
      </c>
      <c r="L2" s="73" t="s">
        <v>419</v>
      </c>
      <c r="N2" s="85" t="s">
        <v>447</v>
      </c>
      <c r="O2" s="86" t="s">
        <v>525</v>
      </c>
    </row>
    <row r="3" spans="1:15" ht="15.6" thickTop="1" thickBot="1" x14ac:dyDescent="0.35">
      <c r="A3" s="25" t="s">
        <v>474</v>
      </c>
      <c r="B3" s="109" t="str">
        <f>ΓΕΝΙΚΑ!$C$4</f>
        <v>VODAFONE</v>
      </c>
      <c r="C3" s="32">
        <f>IF(N3="",IF(ΓΕΝΙΚΑ!$B$20="ΝΑΙ",15300,""),"")</f>
        <v>15300</v>
      </c>
      <c r="D3" s="145" t="str">
        <f>IF(ΓΕΝΙΚΑ!$B$20="ΝΑΙ","ΠΑΝΕΛΛΑΔΙΚΑ","")</f>
        <v>ΠΑΝΕΛΛΑΔΙΚΑ</v>
      </c>
      <c r="E3" s="26" t="s">
        <v>485</v>
      </c>
      <c r="F3" s="106">
        <f>IF(AND(ISNUMBER(G3),ISNUMBER(I3),I3&lt;&gt;0),ROUND(G3/I3,2),"N/A")</f>
        <v>7.0000000000000007E-2</v>
      </c>
      <c r="G3" s="59">
        <v>31509</v>
      </c>
      <c r="H3" s="158">
        <f>IF(ISNUMBER(G3),ROUND(G3,0),"N/A")</f>
        <v>31509</v>
      </c>
      <c r="I3" s="56">
        <v>460868</v>
      </c>
      <c r="J3" s="158">
        <f>IF(ISNUMBER(I3),ROUND(I3,0),"N/A")</f>
        <v>460868</v>
      </c>
      <c r="K3" s="190" t="s">
        <v>872</v>
      </c>
      <c r="L3" s="187" t="s">
        <v>872</v>
      </c>
      <c r="N3" s="89" t="str">
        <f>IF(O3="","","ΣΦΑΛΜΑ")</f>
        <v/>
      </c>
      <c r="O3" s="128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/>
      </c>
    </row>
    <row r="4" spans="1:15" ht="17.25" customHeight="1" thickTop="1" thickBot="1" x14ac:dyDescent="0.35">
      <c r="A4" s="27" t="str">
        <f t="shared" ref="A4:A16" si="0">A$3</f>
        <v>F05</v>
      </c>
      <c r="B4" s="109" t="str">
        <f>ΓΕΝΙΚΑ!$C$4</f>
        <v>VODAFONE</v>
      </c>
      <c r="C4" s="146">
        <f>IF(N4="",IF(ΓΕΝΙΚΑ!$B$20="ΝΑΙ",14664,""),"")</f>
        <v>14664</v>
      </c>
      <c r="D4" s="147" t="str">
        <f>IF(ΓΕΝΙΚΑ!$B$20="ΝΑΙ","Π. ΑΝΑΤΟΛΙΚΗΣ ΜΑΚΕΔΟΝΙΑΣ - ΘΡΑΚΗΣ","")</f>
        <v>Π. ΑΝΑΤΟΛΙΚΗΣ ΜΑΚΕΔΟΝΙΑΣ - ΘΡΑΚΗΣ</v>
      </c>
      <c r="E4" s="8" t="s">
        <v>37</v>
      </c>
      <c r="F4" s="106">
        <f t="shared" ref="F4:F16" si="1">IF(AND(ISNUMBER(G4),ISNUMBER(I4),I4&lt;&gt;0),ROUND(G4/I4,2),"N/A")</f>
        <v>0.06</v>
      </c>
      <c r="G4" s="57">
        <v>619</v>
      </c>
      <c r="H4" s="158">
        <f t="shared" ref="H4:H16" si="2">IF(ISNUMBER(G4),ROUND(G4,0),"N/A")</f>
        <v>619</v>
      </c>
      <c r="I4" s="57">
        <v>9759</v>
      </c>
      <c r="J4" s="158">
        <f t="shared" ref="J4:J16" si="3">IF(ISNUMBER(I4),ROUND(I4,0),"N/A")</f>
        <v>9759</v>
      </c>
      <c r="K4" s="160" t="str">
        <f>K$3</f>
        <v/>
      </c>
      <c r="L4" s="161" t="str">
        <f>L$3</f>
        <v/>
      </c>
      <c r="N4" s="89" t="str">
        <f t="shared" ref="N4:N16" si="4">IF(O4="","","ΣΦΑΛΜΑ")</f>
        <v/>
      </c>
      <c r="O4" s="128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/>
      </c>
    </row>
    <row r="5" spans="1:15" ht="15.6" thickTop="1" thickBot="1" x14ac:dyDescent="0.35">
      <c r="A5" s="27" t="str">
        <f t="shared" si="0"/>
        <v>F05</v>
      </c>
      <c r="B5" s="109" t="str">
        <f>ΓΕΝΙΚΑ!$C$4</f>
        <v>VODAFONE</v>
      </c>
      <c r="C5" s="31">
        <f>IF(N5="",IF(ΓΕΝΙΚΑ!$B$20="ΝΑΙ",14666,""),"")</f>
        <v>14666</v>
      </c>
      <c r="D5" s="148" t="str">
        <f>IF(ΓΕΝΙΚΑ!$B$20="ΝΑΙ","Π. ΑΤΤΙΚΗΣ","")</f>
        <v>Π. ΑΤΤΙΚΗΣ</v>
      </c>
      <c r="E5" s="8" t="s">
        <v>38</v>
      </c>
      <c r="F5" s="106">
        <f t="shared" si="1"/>
        <v>0.06</v>
      </c>
      <c r="G5" s="57">
        <v>16065</v>
      </c>
      <c r="H5" s="158">
        <f t="shared" si="2"/>
        <v>16065</v>
      </c>
      <c r="I5" s="57">
        <v>255770</v>
      </c>
      <c r="J5" s="158">
        <f t="shared" si="3"/>
        <v>255770</v>
      </c>
      <c r="K5" s="160" t="str">
        <f t="shared" ref="K5:L16" si="5">K$3</f>
        <v/>
      </c>
      <c r="L5" s="161" t="str">
        <f t="shared" si="5"/>
        <v/>
      </c>
      <c r="N5" s="89" t="str">
        <f t="shared" si="4"/>
        <v/>
      </c>
      <c r="O5" s="128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/>
      </c>
    </row>
    <row r="6" spans="1:15" ht="15.6" thickTop="1" thickBot="1" x14ac:dyDescent="0.35">
      <c r="A6" s="27" t="str">
        <f t="shared" si="0"/>
        <v>F05</v>
      </c>
      <c r="B6" s="109" t="str">
        <f>ΓΕΝΙΚΑ!$C$4</f>
        <v>VODAFONE</v>
      </c>
      <c r="C6" s="146">
        <f>IF(N6="",IF(ΓΕΝΙΚΑ!$B$20="ΝΑΙ",14668,""),"")</f>
        <v>14668</v>
      </c>
      <c r="D6" s="147" t="str">
        <f>IF(ΓΕΝΙΚΑ!$B$20="ΝΑΙ","Π. ΒΟΡΕΙΟΥ ΑΙΓΑΙΟΥ","")</f>
        <v>Π. ΒΟΡΕΙΟΥ ΑΙΓΑΙΟΥ</v>
      </c>
      <c r="E6" s="8" t="s">
        <v>402</v>
      </c>
      <c r="F6" s="106">
        <f t="shared" si="1"/>
        <v>0.06</v>
      </c>
      <c r="G6" s="57">
        <v>202</v>
      </c>
      <c r="H6" s="158">
        <f t="shared" si="2"/>
        <v>202</v>
      </c>
      <c r="I6" s="57">
        <v>3117</v>
      </c>
      <c r="J6" s="158">
        <f t="shared" si="3"/>
        <v>3117</v>
      </c>
      <c r="K6" s="160" t="str">
        <f t="shared" si="5"/>
        <v/>
      </c>
      <c r="L6" s="161" t="str">
        <f t="shared" si="5"/>
        <v/>
      </c>
      <c r="N6" s="89" t="str">
        <f t="shared" si="4"/>
        <v/>
      </c>
      <c r="O6" s="128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/>
      </c>
    </row>
    <row r="7" spans="1:15" ht="15.6" thickTop="1" thickBot="1" x14ac:dyDescent="0.35">
      <c r="A7" s="27" t="str">
        <f t="shared" si="0"/>
        <v>F05</v>
      </c>
      <c r="B7" s="109" t="str">
        <f>ΓΕΝΙΚΑ!$C$4</f>
        <v>VODAFONE</v>
      </c>
      <c r="C7" s="31">
        <f>IF(N7="",IF(ΓΕΝΙΚΑ!$B$20="ΝΑΙ",14670,""),"")</f>
        <v>14670</v>
      </c>
      <c r="D7" s="148" t="str">
        <f>IF(ΓΕΝΙΚΑ!$B$20="ΝΑΙ","Π. ΔΥΤΙΚΗΣ ΕΛΛΑΔΑΣ","")</f>
        <v>Π. ΔΥΤΙΚΗΣ ΕΛΛΑΔΑΣ</v>
      </c>
      <c r="E7" s="8" t="s">
        <v>403</v>
      </c>
      <c r="F7" s="106">
        <f t="shared" si="1"/>
        <v>0.1</v>
      </c>
      <c r="G7" s="57">
        <v>2235</v>
      </c>
      <c r="H7" s="158">
        <f t="shared" si="2"/>
        <v>2235</v>
      </c>
      <c r="I7" s="57">
        <v>23189</v>
      </c>
      <c r="J7" s="158">
        <f t="shared" si="3"/>
        <v>23189</v>
      </c>
      <c r="K7" s="160" t="str">
        <f t="shared" si="5"/>
        <v/>
      </c>
      <c r="L7" s="161" t="str">
        <f t="shared" si="5"/>
        <v/>
      </c>
      <c r="N7" s="89" t="str">
        <f t="shared" si="4"/>
        <v/>
      </c>
      <c r="O7" s="128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/>
      </c>
    </row>
    <row r="8" spans="1:15" ht="15.75" customHeight="1" thickTop="1" thickBot="1" x14ac:dyDescent="0.35">
      <c r="A8" s="27" t="str">
        <f t="shared" si="0"/>
        <v>F05</v>
      </c>
      <c r="B8" s="109" t="str">
        <f>ΓΕΝΙΚΑ!$C$4</f>
        <v>VODAFONE</v>
      </c>
      <c r="C8" s="146">
        <f>IF(N8="",IF(ΓΕΝΙΚΑ!$B$20="ΝΑΙ",14672,""),"")</f>
        <v>14672</v>
      </c>
      <c r="D8" s="147" t="str">
        <f>IF(ΓΕΝΙΚΑ!$B$20="ΝΑΙ","Π. ΔΥΤΙΚΗΣ ΜΑΚΕΔΟΝΙΑΣ","")</f>
        <v>Π. ΔΥΤΙΚΗΣ ΜΑΚΕΔΟΝΙΑΣ</v>
      </c>
      <c r="E8" s="8" t="s">
        <v>404</v>
      </c>
      <c r="F8" s="106">
        <f t="shared" si="1"/>
        <v>7.0000000000000007E-2</v>
      </c>
      <c r="G8" s="57">
        <v>335</v>
      </c>
      <c r="H8" s="158">
        <f t="shared" si="2"/>
        <v>335</v>
      </c>
      <c r="I8" s="57">
        <v>4589</v>
      </c>
      <c r="J8" s="158">
        <f t="shared" si="3"/>
        <v>4589</v>
      </c>
      <c r="K8" s="160" t="str">
        <f t="shared" si="5"/>
        <v/>
      </c>
      <c r="L8" s="161" t="str">
        <f t="shared" si="5"/>
        <v/>
      </c>
      <c r="N8" s="89" t="str">
        <f t="shared" si="4"/>
        <v/>
      </c>
      <c r="O8" s="128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/>
      </c>
    </row>
    <row r="9" spans="1:15" ht="15.6" thickTop="1" thickBot="1" x14ac:dyDescent="0.35">
      <c r="A9" s="27" t="str">
        <f t="shared" si="0"/>
        <v>F05</v>
      </c>
      <c r="B9" s="109" t="str">
        <f>ΓΕΝΙΚΑ!$C$4</f>
        <v>VODAFONE</v>
      </c>
      <c r="C9" s="31">
        <f>IF(N9="",IF(ΓΕΝΙΚΑ!$B$20="ΝΑΙ",14674,""),"")</f>
        <v>14674</v>
      </c>
      <c r="D9" s="148" t="str">
        <f>IF(ΓΕΝΙΚΑ!$B$20="ΝΑΙ","Π. ΗΠΕΙΡΟΥ","")</f>
        <v>Π. ΗΠΕΙΡΟΥ</v>
      </c>
      <c r="E9" s="8" t="s">
        <v>405</v>
      </c>
      <c r="F9" s="106">
        <f t="shared" si="1"/>
        <v>0.1</v>
      </c>
      <c r="G9" s="57">
        <v>1374</v>
      </c>
      <c r="H9" s="158">
        <f t="shared" si="2"/>
        <v>1374</v>
      </c>
      <c r="I9" s="57">
        <v>14302</v>
      </c>
      <c r="J9" s="158">
        <f t="shared" si="3"/>
        <v>14302</v>
      </c>
      <c r="K9" s="160" t="str">
        <f t="shared" si="5"/>
        <v/>
      </c>
      <c r="L9" s="161" t="str">
        <f t="shared" si="5"/>
        <v/>
      </c>
      <c r="N9" s="89" t="str">
        <f t="shared" si="4"/>
        <v/>
      </c>
      <c r="O9" s="128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/>
      </c>
    </row>
    <row r="10" spans="1:15" ht="15.6" thickTop="1" thickBot="1" x14ac:dyDescent="0.35">
      <c r="A10" s="27" t="str">
        <f t="shared" si="0"/>
        <v>F05</v>
      </c>
      <c r="B10" s="109" t="str">
        <f>ΓΕΝΙΚΑ!$C$4</f>
        <v>VODAFONE</v>
      </c>
      <c r="C10" s="146">
        <f>IF(N10="",IF(ΓΕΝΙΚΑ!$B$20="ΝΑΙ",14676,""),"")</f>
        <v>14676</v>
      </c>
      <c r="D10" s="147" t="str">
        <f>IF(ΓΕΝΙΚΑ!$B$20="ΝΑΙ","Π. ΘΕΣΣΑΛΙΑΣ","")</f>
        <v>Π. ΘΕΣΣΑΛΙΑΣ</v>
      </c>
      <c r="E10" s="8" t="s">
        <v>406</v>
      </c>
      <c r="F10" s="106">
        <f t="shared" si="1"/>
        <v>0.06</v>
      </c>
      <c r="G10" s="57">
        <v>1483</v>
      </c>
      <c r="H10" s="158">
        <f t="shared" si="2"/>
        <v>1483</v>
      </c>
      <c r="I10" s="57">
        <v>26002</v>
      </c>
      <c r="J10" s="158">
        <f t="shared" si="3"/>
        <v>26002</v>
      </c>
      <c r="K10" s="160" t="str">
        <f t="shared" si="5"/>
        <v/>
      </c>
      <c r="L10" s="161" t="str">
        <f t="shared" si="5"/>
        <v/>
      </c>
      <c r="N10" s="89" t="str">
        <f t="shared" si="4"/>
        <v/>
      </c>
      <c r="O10" s="128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/>
      </c>
    </row>
    <row r="11" spans="1:15" ht="15.6" thickTop="1" thickBot="1" x14ac:dyDescent="0.35">
      <c r="A11" s="27" t="str">
        <f t="shared" si="0"/>
        <v>F05</v>
      </c>
      <c r="B11" s="109" t="str">
        <f>ΓΕΝΙΚΑ!$C$4</f>
        <v>VODAFONE</v>
      </c>
      <c r="C11" s="31">
        <f>IF(N11="",IF(ΓΕΝΙΚΑ!$B$20="ΝΑΙ",14678,""),"")</f>
        <v>14678</v>
      </c>
      <c r="D11" s="148" t="str">
        <f>IF(ΓΕΝΙΚΑ!$B$20="ΝΑΙ","Π. ΙΟΝΙΩΝ ΝΗΣΩΝ","")</f>
        <v>Π. ΙΟΝΙΩΝ ΝΗΣΩΝ</v>
      </c>
      <c r="E11" s="8" t="s">
        <v>407</v>
      </c>
      <c r="F11" s="106">
        <f t="shared" si="1"/>
        <v>0.15</v>
      </c>
      <c r="G11" s="57">
        <v>775</v>
      </c>
      <c r="H11" s="158">
        <f t="shared" si="2"/>
        <v>775</v>
      </c>
      <c r="I11" s="57">
        <v>5223</v>
      </c>
      <c r="J11" s="158">
        <f t="shared" si="3"/>
        <v>5223</v>
      </c>
      <c r="K11" s="160" t="str">
        <f t="shared" si="5"/>
        <v/>
      </c>
      <c r="L11" s="161" t="str">
        <f t="shared" si="5"/>
        <v/>
      </c>
      <c r="N11" s="89" t="str">
        <f t="shared" si="4"/>
        <v/>
      </c>
      <c r="O11" s="128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/>
      </c>
    </row>
    <row r="12" spans="1:15" ht="17.25" customHeight="1" thickTop="1" thickBot="1" x14ac:dyDescent="0.35">
      <c r="A12" s="27" t="str">
        <f t="shared" si="0"/>
        <v>F05</v>
      </c>
      <c r="B12" s="109" t="str">
        <f>ΓΕΝΙΚΑ!$C$4</f>
        <v>VODAFONE</v>
      </c>
      <c r="C12" s="146">
        <f>IF(N12="",IF(ΓΕΝΙΚΑ!$B$20="ΝΑΙ",14680,""),"")</f>
        <v>14680</v>
      </c>
      <c r="D12" s="147" t="str">
        <f>IF(ΓΕΝΙΚΑ!$B$20="ΝΑΙ","Π. ΚΕΝΤΡΙΚΗΣ ΜΑΚΕΔΟΝΙΑΣ","")</f>
        <v>Π. ΚΕΝΤΡΙΚΗΣ ΜΑΚΕΔΟΝΙΑΣ</v>
      </c>
      <c r="E12" s="8" t="s">
        <v>408</v>
      </c>
      <c r="F12" s="106">
        <f t="shared" si="1"/>
        <v>0.06</v>
      </c>
      <c r="G12" s="57">
        <v>3671</v>
      </c>
      <c r="H12" s="158">
        <f t="shared" si="2"/>
        <v>3671</v>
      </c>
      <c r="I12" s="57">
        <v>57310</v>
      </c>
      <c r="J12" s="158">
        <f t="shared" si="3"/>
        <v>57310</v>
      </c>
      <c r="K12" s="160" t="str">
        <f t="shared" si="5"/>
        <v/>
      </c>
      <c r="L12" s="161" t="str">
        <f t="shared" si="5"/>
        <v/>
      </c>
      <c r="N12" s="89" t="str">
        <f t="shared" si="4"/>
        <v/>
      </c>
      <c r="O12" s="128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/>
      </c>
    </row>
    <row r="13" spans="1:15" ht="15.6" thickTop="1" thickBot="1" x14ac:dyDescent="0.35">
      <c r="A13" s="27" t="str">
        <f t="shared" si="0"/>
        <v>F05</v>
      </c>
      <c r="B13" s="109" t="str">
        <f>ΓΕΝΙΚΑ!$C$4</f>
        <v>VODAFONE</v>
      </c>
      <c r="C13" s="31">
        <f>IF(N13="",IF(ΓΕΝΙΚΑ!$B$20="ΝΑΙ",14682,""),"")</f>
        <v>14682</v>
      </c>
      <c r="D13" s="148" t="str">
        <f>IF(ΓΕΝΙΚΑ!$B$20="ΝΑΙ","Π. ΚΡΗΤΗΣ","")</f>
        <v>Π. ΚΡΗΤΗΣ</v>
      </c>
      <c r="E13" s="8" t="s">
        <v>409</v>
      </c>
      <c r="F13" s="106">
        <f t="shared" si="1"/>
        <v>0.06</v>
      </c>
      <c r="G13" s="57">
        <v>715</v>
      </c>
      <c r="H13" s="158">
        <f t="shared" si="2"/>
        <v>715</v>
      </c>
      <c r="I13" s="57">
        <v>12511</v>
      </c>
      <c r="J13" s="158">
        <f t="shared" si="3"/>
        <v>12511</v>
      </c>
      <c r="K13" s="160" t="str">
        <f t="shared" si="5"/>
        <v/>
      </c>
      <c r="L13" s="161" t="str">
        <f t="shared" si="5"/>
        <v/>
      </c>
      <c r="N13" s="89" t="str">
        <f t="shared" si="4"/>
        <v/>
      </c>
      <c r="O13" s="128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/>
      </c>
    </row>
    <row r="14" spans="1:15" ht="15.6" thickTop="1" thickBot="1" x14ac:dyDescent="0.35">
      <c r="A14" s="27" t="str">
        <f t="shared" si="0"/>
        <v>F05</v>
      </c>
      <c r="B14" s="109" t="str">
        <f>ΓΕΝΙΚΑ!$C$4</f>
        <v>VODAFONE</v>
      </c>
      <c r="C14" s="146">
        <f>IF(N14="",IF(ΓΕΝΙΚΑ!$B$20="ΝΑΙ",14684,""),"")</f>
        <v>14684</v>
      </c>
      <c r="D14" s="147" t="str">
        <f>IF(ΓΕΝΙΚΑ!$B$20="ΝΑΙ","Π. ΝΟΤΙΟΥ ΑΙΓΑΙΟΥ","")</f>
        <v>Π. ΝΟΤΙΟΥ ΑΙΓΑΙΟΥ</v>
      </c>
      <c r="E14" s="8" t="s">
        <v>410</v>
      </c>
      <c r="F14" s="106">
        <f t="shared" si="1"/>
        <v>0.08</v>
      </c>
      <c r="G14" s="57">
        <v>661</v>
      </c>
      <c r="H14" s="158">
        <f t="shared" si="2"/>
        <v>661</v>
      </c>
      <c r="I14" s="57">
        <v>7911</v>
      </c>
      <c r="J14" s="158">
        <f t="shared" si="3"/>
        <v>7911</v>
      </c>
      <c r="K14" s="160" t="str">
        <f t="shared" si="5"/>
        <v/>
      </c>
      <c r="L14" s="161" t="str">
        <f t="shared" si="5"/>
        <v/>
      </c>
      <c r="N14" s="89" t="str">
        <f t="shared" si="4"/>
        <v/>
      </c>
      <c r="O14" s="128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/>
      </c>
    </row>
    <row r="15" spans="1:15" ht="15.6" thickTop="1" thickBot="1" x14ac:dyDescent="0.35">
      <c r="A15" s="27" t="str">
        <f t="shared" si="0"/>
        <v>F05</v>
      </c>
      <c r="B15" s="109" t="str">
        <f>ΓΕΝΙΚΑ!$C$4</f>
        <v>VODAFONE</v>
      </c>
      <c r="C15" s="31">
        <f>IF(N15="",IF(ΓΕΝΙΚΑ!$B$20="ΝΑΙ",14686,""),"")</f>
        <v>14686</v>
      </c>
      <c r="D15" s="148" t="str">
        <f>IF(ΓΕΝΙΚΑ!$B$20="ΝΑΙ","Π. ΠΕΛΟΠΟΝΝΗΣΟΥ","")</f>
        <v>Π. ΠΕΛΟΠΟΝΝΗΣΟΥ</v>
      </c>
      <c r="E15" s="8" t="s">
        <v>411</v>
      </c>
      <c r="F15" s="106">
        <f t="shared" si="1"/>
        <v>0.09</v>
      </c>
      <c r="G15" s="57">
        <v>1772</v>
      </c>
      <c r="H15" s="158">
        <f t="shared" si="2"/>
        <v>1772</v>
      </c>
      <c r="I15" s="57">
        <v>19895</v>
      </c>
      <c r="J15" s="158">
        <f t="shared" si="3"/>
        <v>19895</v>
      </c>
      <c r="K15" s="160" t="str">
        <f t="shared" si="5"/>
        <v/>
      </c>
      <c r="L15" s="161" t="str">
        <f t="shared" si="5"/>
        <v/>
      </c>
      <c r="N15" s="89" t="str">
        <f t="shared" si="4"/>
        <v/>
      </c>
      <c r="O15" s="128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/>
      </c>
    </row>
    <row r="16" spans="1:15" ht="15.6" thickTop="1" thickBot="1" x14ac:dyDescent="0.35">
      <c r="A16" s="28" t="str">
        <f t="shared" si="0"/>
        <v>F05</v>
      </c>
      <c r="B16" s="109" t="str">
        <f>ΓΕΝΙΚΑ!$C$4</f>
        <v>VODAFONE</v>
      </c>
      <c r="C16" s="149">
        <f>IF(N16="",IF(ΓΕΝΙΚΑ!$B$20="ΝΑΙ",14688,""),"")</f>
        <v>14688</v>
      </c>
      <c r="D16" s="150" t="str">
        <f>IF(ΓΕΝΙΚΑ!$B$20="ΝΑΙ","Π. ΣΤΕΡΕΑΣ ΕΛΛΑΔΑΣ","")</f>
        <v>Π. ΣΤΕΡΕΑΣ ΕΛΛΑΔΑΣ</v>
      </c>
      <c r="E16" s="7" t="s">
        <v>412</v>
      </c>
      <c r="F16" s="198">
        <f t="shared" si="1"/>
        <v>0.08</v>
      </c>
      <c r="G16" s="58">
        <v>1602</v>
      </c>
      <c r="H16" s="158">
        <f t="shared" si="2"/>
        <v>1602</v>
      </c>
      <c r="I16" s="58">
        <v>21290</v>
      </c>
      <c r="J16" s="158">
        <f t="shared" si="3"/>
        <v>21290</v>
      </c>
      <c r="K16" s="162" t="str">
        <f t="shared" si="5"/>
        <v/>
      </c>
      <c r="L16" s="163" t="str">
        <f t="shared" si="5"/>
        <v/>
      </c>
      <c r="N16" s="90" t="str">
        <f t="shared" si="4"/>
        <v/>
      </c>
      <c r="O16" s="164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/>
      </c>
    </row>
  </sheetData>
  <sheetProtection algorithmName="SHA-512" hashValue="rDaidqIrv3rzbO586pW0Ttg8lIOXeBZ9+CaeYeWANdudBsD4UevTZoKA6ohL3atFk862ES1ACGGnImRauVcJFQ==" saltValue="D3ECLNiTOQRQ5lzL65eRCg==" spinCount="100000" sheet="1" objects="1" scenario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 xr:uid="{00000000-0002-0000-0800-000000000000}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Καθορισμένες περιοχές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Sarikosta Eleni</cp:lastModifiedBy>
  <dcterms:created xsi:type="dcterms:W3CDTF">2015-03-10T09:10:24Z</dcterms:created>
  <dcterms:modified xsi:type="dcterms:W3CDTF">2022-02-16T09:15:12Z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2022-01-21T12:02:27Z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c5300bf0-49e5-496b-8fb1-2e2a929356dd</vt:lpwstr>
  </property>
  <property fmtid="{D5CDD505-2E9C-101B-9397-08002B2CF9AE}" pid="8" name="MSIP_Label_0359f705-2ba0-454b-9cfc-6ce5bcaac040_ContentBits">
    <vt:lpwstr>2</vt:lpwstr>
  </property>
</Properties>
</file>